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showInkAnnotation="0" updateLinks="never" codeName="DieseArbeitsmappe"/>
  <mc:AlternateContent xmlns:mc="http://schemas.openxmlformats.org/markup-compatibility/2006">
    <mc:Choice Requires="x15">
      <x15ac:absPath xmlns:x15ac="http://schemas.microsoft.com/office/spreadsheetml/2010/11/ac" url="C:\Users\Obmann\Nextcloud\BBV Schiedsrichterwesen\10 Abrechnungen\"/>
    </mc:Choice>
  </mc:AlternateContent>
  <xr:revisionPtr revIDLastSave="0" documentId="8_{AB2F6F9C-FA94-48F8-90DF-1F53EE54CEC1}" xr6:coauthVersionLast="47" xr6:coauthVersionMax="47" xr10:uidLastSave="{00000000-0000-0000-0000-000000000000}"/>
  <bookViews>
    <workbookView xWindow="-120" yWindow="-120" windowWidth="38640" windowHeight="21120" tabRatio="710" activeTab="5" xr2:uid="{00000000-000D-0000-FFFF-FFFF00000000}"/>
  </bookViews>
  <sheets>
    <sheet name="Deckblatt" sheetId="15" r:id="rId1"/>
    <sheet name="Honorar ML" sheetId="6" state="hidden" r:id="rId2"/>
    <sheet name="RKA Einzel ML" sheetId="1" state="hidden" r:id="rId3"/>
    <sheet name="Honorar Assi" sheetId="19" state="hidden" r:id="rId4"/>
    <sheet name="RKA Einzel Assi" sheetId="20" state="hidden" r:id="rId5"/>
    <sheet name="RKA Masse" sheetId="17" r:id="rId6"/>
    <sheet name="Ehrenamtspauschale" sheetId="22" r:id="rId7"/>
    <sheet name="Tagegeld" sheetId="18" r:id="rId8"/>
    <sheet name="Honorarsätze" sheetId="14" r:id="rId9"/>
    <sheet name="Hinweise Maßnahmenabrechnung" sheetId="13" r:id="rId10"/>
    <sheet name="TF Lehrgang Teilnehmende" sheetId="7" state="hidden" r:id="rId11"/>
    <sheet name="TF Lehrgang Betreuende" sheetId="8" state="hidden" r:id="rId12"/>
    <sheet name="TF Stützpunkt Teilnehmende" sheetId="9" state="hidden" r:id="rId13"/>
    <sheet name="Hilfsblatt ML" sheetId="2" state="hidden" r:id="rId14"/>
    <sheet name="Hilfsblatt Assi" sheetId="21" state="hidden" r:id="rId15"/>
    <sheet name="Tagessätze" sheetId="3" state="hidden" r:id="rId16"/>
  </sheets>
  <externalReferences>
    <externalReference r:id="rId17"/>
  </externalReferences>
  <definedNames>
    <definedName name="Auswahl" localSheetId="14">'Hilfsblatt Assi'!$R$2:$R$4</definedName>
    <definedName name="Auswahl">'Hilfsblatt ML'!$R$2:$R$4</definedName>
    <definedName name="_xlnm.Print_Area" localSheetId="0">Deckblatt!$A$1:$N$82</definedName>
    <definedName name="_xlnm.Print_Area" localSheetId="6">Ehrenamtspauschale!$A$1:$E$29</definedName>
    <definedName name="_xlnm.Print_Area" localSheetId="9">'Hinweise Maßnahmenabrechnung'!$A$1:$M$58</definedName>
    <definedName name="_xlnm.Print_Area" localSheetId="3">'Honorar Assi'!$A$1:$K$55</definedName>
    <definedName name="_xlnm.Print_Area" localSheetId="1">'Honorar ML'!$A$1:$K$55</definedName>
    <definedName name="_xlnm.Print_Area" localSheetId="8">Honorarsätze!$A$1:$J$22</definedName>
    <definedName name="_xlnm.Print_Area" localSheetId="4">'RKA Einzel Assi'!$A$1:$N$72</definedName>
    <definedName name="_xlnm.Print_Area" localSheetId="2">'RKA Einzel ML'!$A$1:$N$72</definedName>
    <definedName name="_xlnm.Print_Area" localSheetId="5">'RKA Masse'!$A$1:$V$45</definedName>
    <definedName name="_xlnm.Print_Area" localSheetId="12">'TF Stützpunkt Teilnehmende'!$A$1:$M$47</definedName>
    <definedName name="jjj" localSheetId="0">#REF!</definedName>
    <definedName name="jjj" localSheetId="6">#REF!</definedName>
    <definedName name="jjj">#REF!</definedName>
    <definedName name="Mitfahrer" localSheetId="14">'Hilfsblatt Assi'!$R$1</definedName>
    <definedName name="Mitfahrer">'Hilfsblatt ML'!$R$1</definedName>
    <definedName name="SFV" localSheetId="0">#REF!</definedName>
    <definedName name="SFV" localSheetId="6">#REF!</definedName>
    <definedName name="SFV" localSheetId="9">#REF!</definedName>
    <definedName name="SFV" localSheetId="8">#REF!</definedName>
    <definedName name="SFV">#REF!</definedName>
    <definedName name="Sportfachverband" localSheetId="12">#REF!</definedName>
    <definedName name="Sportfachverband">[1]SFVs!$A$1:$A$59</definedName>
    <definedName name="Turnen" localSheetId="6">#REF!</definedName>
    <definedName name="Turnen">'TF Lehrgang Teilnehmende'!$J$1</definedName>
    <definedName name="ysddf" localSheetId="6">#REF!</definedName>
    <definedName name="ysddf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1" i="17" l="1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34" i="17"/>
  <c r="L10" i="17"/>
  <c r="T38" i="17"/>
  <c r="T37" i="17"/>
  <c r="AD28" i="17"/>
  <c r="AE28" i="17"/>
  <c r="AB29" i="17"/>
  <c r="AB30" i="17"/>
  <c r="AB31" i="17"/>
  <c r="AB32" i="17"/>
  <c r="AB33" i="17"/>
  <c r="AB34" i="17"/>
  <c r="AB35" i="17"/>
  <c r="Q28" i="17"/>
  <c r="R38" i="17"/>
  <c r="R37" i="17"/>
  <c r="AD10" i="17"/>
  <c r="AE10" i="17"/>
  <c r="Q10" i="17"/>
  <c r="P38" i="17"/>
  <c r="P37" i="17"/>
  <c r="AI29" i="17"/>
  <c r="AI30" i="17"/>
  <c r="AI31" i="17"/>
  <c r="AI32" i="17"/>
  <c r="AI33" i="17"/>
  <c r="AI34" i="17"/>
  <c r="AI35" i="17"/>
  <c r="AI38" i="17"/>
  <c r="AI39" i="17"/>
  <c r="AI40" i="17"/>
  <c r="P10" i="17"/>
  <c r="AD11" i="17"/>
  <c r="AE11" i="17"/>
  <c r="P11" i="17"/>
  <c r="AD12" i="17"/>
  <c r="AE12" i="17"/>
  <c r="P12" i="17"/>
  <c r="AD13" i="17"/>
  <c r="AE13" i="17"/>
  <c r="P13" i="17"/>
  <c r="AD14" i="17"/>
  <c r="AE14" i="17"/>
  <c r="P14" i="17"/>
  <c r="AD15" i="17"/>
  <c r="AE15" i="17"/>
  <c r="P15" i="17"/>
  <c r="AD16" i="17"/>
  <c r="AE16" i="17"/>
  <c r="P16" i="17"/>
  <c r="AD17" i="17"/>
  <c r="AE17" i="17"/>
  <c r="P17" i="17"/>
  <c r="AD18" i="17"/>
  <c r="AE18" i="17"/>
  <c r="P18" i="17"/>
  <c r="AD19" i="17"/>
  <c r="AE19" i="17"/>
  <c r="P19" i="17"/>
  <c r="AD20" i="17"/>
  <c r="AE20" i="17"/>
  <c r="P20" i="17"/>
  <c r="AD21" i="17"/>
  <c r="AE21" i="17"/>
  <c r="P21" i="17"/>
  <c r="AD22" i="17"/>
  <c r="AE22" i="17"/>
  <c r="P22" i="17"/>
  <c r="AD23" i="17"/>
  <c r="AE23" i="17"/>
  <c r="P23" i="17"/>
  <c r="AD24" i="17"/>
  <c r="AE24" i="17"/>
  <c r="P24" i="17"/>
  <c r="AD25" i="17"/>
  <c r="AE25" i="17"/>
  <c r="P25" i="17"/>
  <c r="AD26" i="17"/>
  <c r="AE26" i="17"/>
  <c r="P26" i="17"/>
  <c r="AD27" i="17"/>
  <c r="AE27" i="17"/>
  <c r="P27" i="17"/>
  <c r="P28" i="17"/>
  <c r="AD29" i="17"/>
  <c r="AE29" i="17"/>
  <c r="P29" i="17"/>
  <c r="AD30" i="17"/>
  <c r="AE30" i="17"/>
  <c r="P30" i="17"/>
  <c r="AD31" i="17"/>
  <c r="AE31" i="17"/>
  <c r="P31" i="17"/>
  <c r="AD32" i="17"/>
  <c r="AE32" i="17"/>
  <c r="P32" i="17"/>
  <c r="AD33" i="17"/>
  <c r="AE33" i="17"/>
  <c r="P33" i="17"/>
  <c r="AD34" i="17"/>
  <c r="AE34" i="17"/>
  <c r="P34" i="17"/>
  <c r="P36" i="17"/>
  <c r="Q2" i="2"/>
  <c r="AR10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AR28" i="17"/>
  <c r="J28" i="17"/>
  <c r="J29" i="17"/>
  <c r="J30" i="17"/>
  <c r="J31" i="17"/>
  <c r="J32" i="17"/>
  <c r="J33" i="17"/>
  <c r="J34" i="17"/>
  <c r="M36" i="17"/>
  <c r="N36" i="17"/>
  <c r="J36" i="17"/>
  <c r="L36" i="17"/>
  <c r="A2" i="21"/>
  <c r="B56" i="20"/>
  <c r="B54" i="20"/>
  <c r="B52" i="20"/>
  <c r="B2" i="21"/>
  <c r="C2" i="21"/>
  <c r="F2" i="21"/>
  <c r="G52" i="20"/>
  <c r="G2" i="21"/>
  <c r="G54" i="20"/>
  <c r="D2" i="21"/>
  <c r="H2" i="21"/>
  <c r="G56" i="20"/>
  <c r="A7" i="2"/>
  <c r="D7" i="2"/>
  <c r="H20" i="6"/>
  <c r="I20" i="6"/>
  <c r="A6" i="2"/>
  <c r="D6" i="2"/>
  <c r="H19" i="6"/>
  <c r="I19" i="6"/>
  <c r="J31" i="6"/>
  <c r="A7" i="21"/>
  <c r="B7" i="21"/>
  <c r="C7" i="21"/>
  <c r="D7" i="21"/>
  <c r="A8" i="21"/>
  <c r="B8" i="21"/>
  <c r="C8" i="21"/>
  <c r="D8" i="21"/>
  <c r="A9" i="21"/>
  <c r="B9" i="21"/>
  <c r="C9" i="21"/>
  <c r="D9" i="21"/>
  <c r="A10" i="21"/>
  <c r="B10" i="21"/>
  <c r="C10" i="21"/>
  <c r="D10" i="21"/>
  <c r="A11" i="21"/>
  <c r="B11" i="21"/>
  <c r="C11" i="21"/>
  <c r="D11" i="21"/>
  <c r="A12" i="21"/>
  <c r="B12" i="21"/>
  <c r="C12" i="21"/>
  <c r="D12" i="21"/>
  <c r="A13" i="21"/>
  <c r="B13" i="21"/>
  <c r="C13" i="21"/>
  <c r="D13" i="21"/>
  <c r="A14" i="21"/>
  <c r="B14" i="21"/>
  <c r="C14" i="21"/>
  <c r="D14" i="21"/>
  <c r="A15" i="21"/>
  <c r="B15" i="21"/>
  <c r="C15" i="21"/>
  <c r="D15" i="21"/>
  <c r="A16" i="21"/>
  <c r="B16" i="21"/>
  <c r="C16" i="21"/>
  <c r="D16" i="21"/>
  <c r="A17" i="21"/>
  <c r="B17" i="21"/>
  <c r="C17" i="21"/>
  <c r="D17" i="21"/>
  <c r="C6" i="21"/>
  <c r="B6" i="21"/>
  <c r="A6" i="21"/>
  <c r="H20" i="19"/>
  <c r="H21" i="19"/>
  <c r="H22" i="19"/>
  <c r="H23" i="19"/>
  <c r="H24" i="19"/>
  <c r="H25" i="19"/>
  <c r="H26" i="19"/>
  <c r="H27" i="19"/>
  <c r="H28" i="19"/>
  <c r="H29" i="19"/>
  <c r="H30" i="19"/>
  <c r="O77" i="15"/>
  <c r="O78" i="15"/>
  <c r="O91" i="15"/>
  <c r="I29" i="15"/>
  <c r="I35" i="15"/>
  <c r="S10" i="17"/>
  <c r="Q11" i="17"/>
  <c r="Q12" i="17"/>
  <c r="Q13" i="17"/>
  <c r="Q14" i="17"/>
  <c r="Q15" i="17"/>
  <c r="Q16" i="17"/>
  <c r="Q17" i="17"/>
  <c r="Q18" i="17"/>
  <c r="Q19" i="17"/>
  <c r="Q20" i="17"/>
  <c r="Q21" i="17"/>
  <c r="Q22" i="17"/>
  <c r="Q23" i="17"/>
  <c r="Q24" i="17"/>
  <c r="Q25" i="17"/>
  <c r="Q26" i="17"/>
  <c r="Q27" i="17"/>
  <c r="Q29" i="17"/>
  <c r="Q30" i="17"/>
  <c r="Q31" i="17"/>
  <c r="Q32" i="17"/>
  <c r="Q33" i="17"/>
  <c r="Q34" i="17"/>
  <c r="Q35" i="17"/>
  <c r="S11" i="17"/>
  <c r="S12" i="17"/>
  <c r="S13" i="17"/>
  <c r="S14" i="17"/>
  <c r="S15" i="17"/>
  <c r="S16" i="17"/>
  <c r="AR17" i="17"/>
  <c r="S17" i="17"/>
  <c r="AR18" i="17"/>
  <c r="S18" i="17"/>
  <c r="S19" i="17"/>
  <c r="S20" i="17"/>
  <c r="S21" i="17"/>
  <c r="S22" i="17"/>
  <c r="AR23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F56" i="15"/>
  <c r="G57" i="15"/>
  <c r="I60" i="15"/>
  <c r="A13" i="15"/>
  <c r="F29" i="15"/>
  <c r="K52" i="20"/>
  <c r="K54" i="20"/>
  <c r="K56" i="20"/>
  <c r="L2" i="21"/>
  <c r="O2" i="21"/>
  <c r="P2" i="21"/>
  <c r="M2" i="21"/>
  <c r="N2" i="21"/>
  <c r="K2" i="21"/>
  <c r="J2" i="21"/>
  <c r="I2" i="21"/>
  <c r="D6" i="21"/>
  <c r="H19" i="19"/>
  <c r="R26" i="21"/>
  <c r="S26" i="21"/>
  <c r="S25" i="21"/>
  <c r="S24" i="21"/>
  <c r="S23" i="21"/>
  <c r="S22" i="21"/>
  <c r="S21" i="21"/>
  <c r="S20" i="21"/>
  <c r="S19" i="21"/>
  <c r="S18" i="21"/>
  <c r="S17" i="21"/>
  <c r="S16" i="21"/>
  <c r="S15" i="21"/>
  <c r="S14" i="21"/>
  <c r="R13" i="21"/>
  <c r="S13" i="21"/>
  <c r="R12" i="21"/>
  <c r="S12" i="21"/>
  <c r="R11" i="21"/>
  <c r="S11" i="21"/>
  <c r="R10" i="21"/>
  <c r="S10" i="21"/>
  <c r="R9" i="21"/>
  <c r="S9" i="21"/>
  <c r="R8" i="21"/>
  <c r="S8" i="21"/>
  <c r="R7" i="21"/>
  <c r="S7" i="21"/>
  <c r="R6" i="21"/>
  <c r="S6" i="21"/>
  <c r="R5" i="21"/>
  <c r="S5" i="21"/>
  <c r="R4" i="21"/>
  <c r="S4" i="21"/>
  <c r="R3" i="21"/>
  <c r="S3" i="21"/>
  <c r="R2" i="21"/>
  <c r="S2" i="21"/>
  <c r="Q2" i="21"/>
  <c r="O20" i="19"/>
  <c r="I36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J31" i="19"/>
  <c r="A2" i="2"/>
  <c r="B2" i="2"/>
  <c r="C2" i="2"/>
  <c r="F2" i="2"/>
  <c r="G2" i="2"/>
  <c r="D2" i="2"/>
  <c r="H2" i="2"/>
  <c r="B52" i="1"/>
  <c r="G52" i="1"/>
  <c r="K52" i="1"/>
  <c r="B54" i="1"/>
  <c r="G54" i="1"/>
  <c r="K54" i="1"/>
  <c r="B56" i="1"/>
  <c r="G56" i="1"/>
  <c r="K56" i="1"/>
  <c r="H58" i="1"/>
  <c r="I2" i="2"/>
  <c r="K58" i="20"/>
  <c r="H59" i="1"/>
  <c r="J2" i="2"/>
  <c r="K59" i="20"/>
  <c r="H60" i="1"/>
  <c r="K2" i="2"/>
  <c r="K60" i="20"/>
  <c r="N60" i="20"/>
  <c r="N56" i="20"/>
  <c r="J30" i="20"/>
  <c r="N39" i="20"/>
  <c r="N64" i="20"/>
  <c r="K58" i="1"/>
  <c r="K59" i="1"/>
  <c r="K60" i="1"/>
  <c r="N60" i="1"/>
  <c r="N56" i="1"/>
  <c r="J30" i="1"/>
  <c r="N39" i="1"/>
  <c r="N64" i="1"/>
  <c r="G33" i="20"/>
  <c r="J33" i="20"/>
  <c r="N44" i="20"/>
  <c r="E64" i="20"/>
  <c r="H60" i="20"/>
  <c r="A60" i="20"/>
  <c r="H59" i="20"/>
  <c r="H58" i="20"/>
  <c r="A58" i="20"/>
  <c r="I56" i="20"/>
  <c r="D56" i="20"/>
  <c r="I54" i="20"/>
  <c r="D54" i="20"/>
  <c r="I52" i="20"/>
  <c r="D52" i="20"/>
  <c r="B34" i="20"/>
  <c r="G30" i="20"/>
  <c r="E22" i="20"/>
  <c r="H12" i="20"/>
  <c r="H10" i="20"/>
  <c r="H8" i="20"/>
  <c r="K3" i="20"/>
  <c r="J3" i="20"/>
  <c r="O17" i="19"/>
  <c r="P17" i="19"/>
  <c r="I35" i="19"/>
  <c r="B6" i="2"/>
  <c r="C6" i="2"/>
  <c r="B7" i="2"/>
  <c r="A38" i="19"/>
  <c r="X33" i="19"/>
  <c r="J33" i="19"/>
  <c r="I33" i="19"/>
  <c r="H33" i="19"/>
  <c r="J32" i="19"/>
  <c r="H32" i="19"/>
  <c r="X31" i="19"/>
  <c r="K19" i="19"/>
  <c r="Z19" i="19"/>
  <c r="K20" i="19"/>
  <c r="K21" i="19"/>
  <c r="K22" i="19"/>
  <c r="K23" i="19"/>
  <c r="K24" i="19"/>
  <c r="K25" i="19"/>
  <c r="K26" i="19"/>
  <c r="X26" i="19"/>
  <c r="K27" i="19"/>
  <c r="X27" i="19"/>
  <c r="K28" i="19"/>
  <c r="X28" i="19"/>
  <c r="K29" i="19"/>
  <c r="X29" i="19"/>
  <c r="K30" i="19"/>
  <c r="X30" i="19"/>
  <c r="K31" i="19"/>
  <c r="H3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H3" i="19"/>
  <c r="G3" i="19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AR22" i="17"/>
  <c r="AK22" i="17"/>
  <c r="AL22" i="17"/>
  <c r="AK23" i="17"/>
  <c r="AL23" i="17"/>
  <c r="AK18" i="17"/>
  <c r="AL18" i="17"/>
  <c r="AK17" i="17"/>
  <c r="AL17" i="17"/>
  <c r="AR19" i="17"/>
  <c r="AK19" i="17"/>
  <c r="AL19" i="17"/>
  <c r="AR20" i="17"/>
  <c r="AK20" i="17"/>
  <c r="AL20" i="17"/>
  <c r="AR21" i="17"/>
  <c r="AK21" i="17"/>
  <c r="AL21" i="17"/>
  <c r="AR24" i="17"/>
  <c r="AK24" i="17"/>
  <c r="AL24" i="17"/>
  <c r="AR25" i="17"/>
  <c r="AK25" i="17"/>
  <c r="AL25" i="17"/>
  <c r="AR26" i="17"/>
  <c r="AK26" i="17"/>
  <c r="AL26" i="17"/>
  <c r="AR27" i="17"/>
  <c r="AK27" i="17"/>
  <c r="AL27" i="17"/>
  <c r="AK28" i="17"/>
  <c r="AL28" i="17"/>
  <c r="AR11" i="17"/>
  <c r="AR12" i="17"/>
  <c r="AR13" i="17"/>
  <c r="AR14" i="17"/>
  <c r="AR15" i="17"/>
  <c r="AR16" i="17"/>
  <c r="AR29" i="17"/>
  <c r="AR30" i="17"/>
  <c r="AR31" i="17"/>
  <c r="AR32" i="17"/>
  <c r="AR33" i="17"/>
  <c r="AR34" i="17"/>
  <c r="R2" i="2"/>
  <c r="S2" i="2"/>
  <c r="O42" i="17" a="1"/>
  <c r="O42" i="17"/>
  <c r="I33" i="6"/>
  <c r="H33" i="6"/>
  <c r="Z19" i="6"/>
  <c r="K19" i="6"/>
  <c r="K20" i="6"/>
  <c r="O20" i="6"/>
  <c r="K21" i="6"/>
  <c r="K22" i="6"/>
  <c r="K23" i="6"/>
  <c r="K24" i="6"/>
  <c r="K25" i="6"/>
  <c r="K26" i="6"/>
  <c r="K27" i="6"/>
  <c r="K28" i="6"/>
  <c r="K29" i="6"/>
  <c r="K30" i="6"/>
  <c r="X26" i="6"/>
  <c r="X27" i="6"/>
  <c r="X28" i="6"/>
  <c r="X29" i="6"/>
  <c r="X30" i="6"/>
  <c r="K31" i="6"/>
  <c r="J33" i="6"/>
  <c r="O17" i="6"/>
  <c r="P17" i="6"/>
  <c r="C24" i="14"/>
  <c r="C25" i="14"/>
  <c r="C26" i="14"/>
  <c r="F24" i="14"/>
  <c r="G24" i="14"/>
  <c r="H24" i="14"/>
  <c r="F25" i="14"/>
  <c r="G25" i="14"/>
  <c r="H25" i="14"/>
  <c r="F26" i="14"/>
  <c r="G26" i="14"/>
  <c r="H26" i="14"/>
  <c r="C27" i="14"/>
  <c r="F27" i="14"/>
  <c r="G27" i="14"/>
  <c r="H27" i="14"/>
  <c r="C28" i="14"/>
  <c r="F28" i="14"/>
  <c r="G28" i="14"/>
  <c r="H28" i="14"/>
  <c r="C29" i="14"/>
  <c r="F29" i="14"/>
  <c r="G29" i="14"/>
  <c r="H29" i="14"/>
  <c r="C31" i="14"/>
  <c r="F31" i="14"/>
  <c r="G31" i="14"/>
  <c r="H31" i="14"/>
  <c r="C32" i="14"/>
  <c r="F32" i="14"/>
  <c r="G32" i="14"/>
  <c r="H32" i="14"/>
  <c r="C33" i="14"/>
  <c r="F33" i="14"/>
  <c r="G33" i="14"/>
  <c r="H33" i="14"/>
  <c r="C34" i="14"/>
  <c r="F34" i="14"/>
  <c r="G34" i="14"/>
  <c r="H34" i="14"/>
  <c r="C35" i="14"/>
  <c r="F35" i="14"/>
  <c r="G35" i="14"/>
  <c r="H35" i="14"/>
  <c r="C36" i="14"/>
  <c r="F36" i="14"/>
  <c r="G36" i="14"/>
  <c r="H36" i="14"/>
  <c r="I36" i="6"/>
  <c r="I35" i="6"/>
  <c r="C7" i="2"/>
  <c r="A8" i="2"/>
  <c r="B8" i="2"/>
  <c r="C8" i="2"/>
  <c r="D8" i="2"/>
  <c r="H21" i="6"/>
  <c r="I21" i="6"/>
  <c r="A9" i="2"/>
  <c r="B9" i="2"/>
  <c r="C9" i="2"/>
  <c r="D9" i="2"/>
  <c r="H22" i="6"/>
  <c r="I22" i="6"/>
  <c r="A10" i="2"/>
  <c r="B10" i="2"/>
  <c r="C10" i="2"/>
  <c r="D10" i="2"/>
  <c r="H23" i="6"/>
  <c r="I23" i="6"/>
  <c r="A11" i="2"/>
  <c r="B11" i="2"/>
  <c r="C11" i="2"/>
  <c r="D11" i="2"/>
  <c r="H24" i="6"/>
  <c r="I24" i="6"/>
  <c r="A12" i="2"/>
  <c r="B12" i="2"/>
  <c r="C12" i="2"/>
  <c r="D12" i="2"/>
  <c r="H25" i="6"/>
  <c r="I25" i="6"/>
  <c r="A13" i="2"/>
  <c r="B13" i="2"/>
  <c r="C13" i="2"/>
  <c r="D13" i="2"/>
  <c r="H26" i="6"/>
  <c r="I26" i="6"/>
  <c r="A14" i="2"/>
  <c r="B14" i="2"/>
  <c r="C14" i="2"/>
  <c r="D14" i="2"/>
  <c r="H27" i="6"/>
  <c r="I27" i="6"/>
  <c r="A15" i="2"/>
  <c r="B15" i="2"/>
  <c r="C15" i="2"/>
  <c r="D15" i="2"/>
  <c r="H28" i="6"/>
  <c r="I28" i="6"/>
  <c r="A16" i="2"/>
  <c r="B16" i="2"/>
  <c r="C16" i="2"/>
  <c r="D16" i="2"/>
  <c r="H29" i="6"/>
  <c r="I29" i="6"/>
  <c r="A17" i="2"/>
  <c r="B17" i="2"/>
  <c r="C17" i="2"/>
  <c r="D17" i="2"/>
  <c r="H30" i="6"/>
  <c r="I30" i="6"/>
  <c r="J32" i="6"/>
  <c r="H32" i="6"/>
  <c r="A38" i="6"/>
  <c r="AK11" i="17"/>
  <c r="AL11" i="17"/>
  <c r="AK12" i="17"/>
  <c r="AL12" i="17"/>
  <c r="AK13" i="17"/>
  <c r="AL13" i="17"/>
  <c r="AK14" i="17"/>
  <c r="AL14" i="17"/>
  <c r="AK15" i="17"/>
  <c r="AL15" i="17"/>
  <c r="AK16" i="17"/>
  <c r="AL16" i="17"/>
  <c r="AK29" i="17"/>
  <c r="AL29" i="17"/>
  <c r="AK30" i="17"/>
  <c r="AL30" i="17"/>
  <c r="AK31" i="17"/>
  <c r="AL31" i="17"/>
  <c r="AK32" i="17"/>
  <c r="AL32" i="17"/>
  <c r="AK33" i="17"/>
  <c r="AL33" i="17"/>
  <c r="AK34" i="17"/>
  <c r="AL34" i="17"/>
  <c r="O79" i="15"/>
  <c r="O80" i="15"/>
  <c r="O86" i="15"/>
  <c r="O82" i="15"/>
  <c r="O84" i="15"/>
  <c r="O92" i="15"/>
  <c r="A8" i="14"/>
  <c r="B8" i="14"/>
  <c r="P2" i="17"/>
  <c r="Q2" i="17"/>
  <c r="J3" i="1"/>
  <c r="K3" i="1"/>
  <c r="G3" i="6"/>
  <c r="H3" i="6"/>
  <c r="X33" i="6"/>
  <c r="X31" i="6"/>
  <c r="R7" i="2"/>
  <c r="R3" i="2"/>
  <c r="R4" i="2"/>
  <c r="R5" i="2"/>
  <c r="R6" i="2"/>
  <c r="R8" i="2"/>
  <c r="R9" i="2"/>
  <c r="R10" i="2"/>
  <c r="R11" i="2"/>
  <c r="R12" i="2"/>
  <c r="R13" i="2"/>
  <c r="I43" i="15"/>
  <c r="I39" i="15"/>
  <c r="I63" i="15"/>
  <c r="I64" i="15"/>
  <c r="I65" i="15"/>
  <c r="I66" i="15"/>
  <c r="I69" i="15"/>
  <c r="H40" i="14"/>
  <c r="G40" i="14"/>
  <c r="F40" i="14"/>
  <c r="H39" i="14"/>
  <c r="G39" i="14"/>
  <c r="F39" i="14"/>
  <c r="H38" i="14"/>
  <c r="G38" i="14"/>
  <c r="F38" i="14"/>
  <c r="H37" i="14"/>
  <c r="G37" i="14"/>
  <c r="F37" i="14"/>
  <c r="J3" i="7"/>
  <c r="J3" i="8"/>
  <c r="E33" i="8"/>
  <c r="J2" i="8"/>
  <c r="K28" i="7"/>
  <c r="K33" i="7"/>
  <c r="K59" i="7"/>
  <c r="K65" i="7"/>
  <c r="K89" i="7"/>
  <c r="K96" i="7"/>
  <c r="K120" i="7"/>
  <c r="G10" i="15"/>
  <c r="M6" i="15"/>
  <c r="E4" i="8"/>
  <c r="A77" i="15"/>
  <c r="E105" i="15"/>
  <c r="E106" i="15"/>
  <c r="E107" i="15"/>
  <c r="E108" i="15"/>
  <c r="E109" i="15"/>
  <c r="E110" i="15"/>
  <c r="E111" i="15"/>
  <c r="E112" i="15"/>
  <c r="D54" i="1"/>
  <c r="D56" i="1"/>
  <c r="M2" i="2"/>
  <c r="L2" i="2"/>
  <c r="N2" i="2"/>
  <c r="O2" i="2"/>
  <c r="P2" i="2"/>
  <c r="G30" i="1"/>
  <c r="G33" i="1"/>
  <c r="J33" i="1"/>
  <c r="N44" i="1"/>
  <c r="E64" i="1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R26" i="2"/>
  <c r="S26" i="2"/>
  <c r="F108" i="15"/>
  <c r="F109" i="15"/>
  <c r="F110" i="15"/>
  <c r="F111" i="15"/>
  <c r="F112" i="15"/>
  <c r="F113" i="15"/>
  <c r="L6" i="15"/>
  <c r="O88" i="15"/>
  <c r="O89" i="15"/>
  <c r="L29" i="9"/>
  <c r="K29" i="9"/>
  <c r="J29" i="9"/>
  <c r="I29" i="9"/>
  <c r="H29" i="9"/>
  <c r="G29" i="9"/>
  <c r="F29" i="9"/>
  <c r="E29" i="9"/>
  <c r="K26" i="9"/>
  <c r="H26" i="9"/>
  <c r="C26" i="9"/>
  <c r="J24" i="9"/>
  <c r="C4" i="8"/>
  <c r="D52" i="1"/>
  <c r="I56" i="1"/>
  <c r="H31" i="6"/>
  <c r="A60" i="1"/>
  <c r="A58" i="1"/>
  <c r="I52" i="1"/>
  <c r="I54" i="1"/>
  <c r="B34" i="1"/>
  <c r="E22" i="1"/>
  <c r="H12" i="1"/>
  <c r="H10" i="1"/>
  <c r="H8" i="1"/>
  <c r="J21" i="6"/>
  <c r="I71" i="15"/>
  <c r="E3" i="15"/>
  <c r="O85" i="15"/>
  <c r="O93" i="15"/>
  <c r="J3" i="9"/>
  <c r="E24" i="9"/>
  <c r="E64" i="7"/>
  <c r="E95" i="7"/>
  <c r="E126" i="7"/>
  <c r="E32" i="7"/>
  <c r="J24" i="6"/>
  <c r="J20" i="6"/>
  <c r="J27" i="6"/>
  <c r="J30" i="6"/>
  <c r="J19" i="6"/>
  <c r="J25" i="6"/>
  <c r="J22" i="6"/>
  <c r="J26" i="6"/>
  <c r="J23" i="6"/>
  <c r="J28" i="6"/>
  <c r="J29" i="6"/>
  <c r="L72" i="15"/>
  <c r="A72" i="15"/>
  <c r="M72" i="15"/>
  <c r="AK10" i="17"/>
  <c r="AL10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tfoertel</author>
    <author>Tobias F. Oertel</author>
    <author>bbv</author>
  </authors>
  <commentList>
    <comment ref="M5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hier bitte die Teilnehmerzahl ohne Maßnahmenleiter oder Assistenten angeben</t>
        </r>
      </text>
    </comment>
    <comment ref="D6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für weitere Fragen zum Bezirks-LfK siehe separater Reiter</t>
        </r>
      </text>
    </comment>
    <comment ref="M6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Die Abrechnungsstelle bestätigt durch Handzeichen die Klassifizierung als LfK-Maßnahme</t>
        </r>
      </text>
    </comment>
    <comment ref="B10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Namen eintragen, falls abweichend vom Maßnahmenleiter.</t>
        </r>
      </text>
    </comment>
    <comment ref="B11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Hierhin muß die Abrechnung geschickt werden.</t>
        </r>
      </text>
    </comment>
    <comment ref="F19" authorId="0" shapeId="0" xr:uid="{00000000-0006-0000-0000-000006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Reisekosten beinhalten Fahrtkosten und Tagegeld</t>
        </r>
      </text>
    </comment>
    <comment ref="B23" authorId="0" shapeId="0" xr:uid="{00000000-0006-0000-0000-000007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24" authorId="0" shapeId="0" xr:uid="{00000000-0006-0000-0000-000008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25" authorId="0" shapeId="0" xr:uid="{00000000-0006-0000-0000-000009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26" authorId="0" shapeId="0" xr:uid="{00000000-0006-0000-0000-00000A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27" authorId="0" shapeId="0" xr:uid="{00000000-0006-0000-0000-00000B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F33" authorId="0" shapeId="0" xr:uid="{00000000-0006-0000-0000-00000C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Rechnung bitte genau benennen
</t>
        </r>
      </text>
    </comment>
    <comment ref="F34" authorId="0" shapeId="0" xr:uid="{00000000-0006-0000-0000-00000D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Reisekosten beinhalten Fahrtkosten und Tagegeld</t>
        </r>
      </text>
    </comment>
    <comment ref="F35" authorId="1" shapeId="0" xr:uid="{00000000-0006-0000-0000-00000E000000}">
      <text>
        <r>
          <rPr>
            <sz val="9"/>
            <color indexed="81"/>
            <rFont val="Segoe UI"/>
            <family val="2"/>
          </rPr>
          <t>Eine Auszahlung erfolgt nur nach Erklärung eines ausreichenden Freibetrags bei der Übungsleiter- oder Ehrenamtspauschale</t>
        </r>
      </text>
    </comment>
    <comment ref="F37" authorId="0" shapeId="0" xr:uid="{00000000-0006-0000-0000-00000F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Rechnung bitte genau benennen
</t>
        </r>
      </text>
    </comment>
    <comment ref="F38" authorId="0" shapeId="0" xr:uid="{00000000-0006-0000-0000-000010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Reisekosten beinhalten Fahrtkosten und Tagegeld</t>
        </r>
      </text>
    </comment>
    <comment ref="F39" authorId="1" shapeId="0" xr:uid="{00000000-0006-0000-0000-000011000000}">
      <text>
        <r>
          <rPr>
            <sz val="9"/>
            <color indexed="81"/>
            <rFont val="Segoe UI"/>
            <family val="2"/>
          </rPr>
          <t>Eine Auszahlung erfolgt nur nach Erklärung eines ausreichenden Freibetrags bei der Übungsleiter- oder Ehrenamtspauschale</t>
        </r>
      </text>
    </comment>
    <comment ref="F41" authorId="0" shapeId="0" xr:uid="{00000000-0006-0000-0000-000012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Rechnung bitte genau benennen
</t>
        </r>
      </text>
    </comment>
    <comment ref="F42" authorId="0" shapeId="0" xr:uid="{00000000-0006-0000-0000-000013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Reisekosten beinhalten Fahrtkosten und Tagegeld</t>
        </r>
      </text>
    </comment>
    <comment ref="F43" authorId="1" shapeId="0" xr:uid="{00000000-0006-0000-0000-000014000000}">
      <text>
        <r>
          <rPr>
            <sz val="9"/>
            <color indexed="81"/>
            <rFont val="Segoe UI"/>
            <family val="2"/>
          </rPr>
          <t>Eine Auszahlung erfolgt nur nach Erklärung eines ausreichenden Freibetrags bei der Übungsleiter- oder Ehrenamtspauschale</t>
        </r>
      </text>
    </comment>
    <comment ref="B47" authorId="0" shapeId="0" xr:uid="{00000000-0006-0000-0000-000015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48" authorId="0" shapeId="0" xr:uid="{00000000-0006-0000-0000-000016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49" authorId="0" shapeId="0" xr:uid="{00000000-0006-0000-0000-000017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50" authorId="0" shapeId="0" xr:uid="{00000000-0006-0000-0000-000018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51" authorId="0" shapeId="0" xr:uid="{00000000-0006-0000-0000-000019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B52" authorId="0" shapeId="0" xr:uid="{00000000-0006-0000-0000-00001A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bitte Beleg beilegen und in diesem Feld eindeutig bezeichnen.</t>
        </r>
      </text>
    </comment>
    <comment ref="F56" authorId="0" shapeId="0" xr:uid="{00000000-0006-0000-0000-00001B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Reisekosten beinhalten Fahrtkosten und Tagegeld</t>
        </r>
      </text>
    </comment>
    <comment ref="C67" authorId="2" shapeId="0" xr:uid="{95CA0BAA-C489-45A7-A6DB-FAD47F0FA596}">
      <text>
        <r>
          <rPr>
            <b/>
            <sz val="9"/>
            <color indexed="81"/>
            <rFont val="Segoe UI"/>
            <family val="2"/>
          </rPr>
          <t>Bitte genau benennen</t>
        </r>
      </text>
    </comment>
    <comment ref="I67" authorId="2" shapeId="0" xr:uid="{CC194B16-1E7E-4F89-879A-13F74930C43E}">
      <text>
        <r>
          <rPr>
            <b/>
            <sz val="9"/>
            <color indexed="81"/>
            <rFont val="Segoe UI"/>
            <family val="2"/>
          </rPr>
          <t>Gesamtbetrag eintragen</t>
        </r>
      </text>
    </comment>
    <comment ref="C68" authorId="2" shapeId="0" xr:uid="{6E87EEDC-9E8D-47C4-A72C-25BB7125C62B}">
      <text>
        <r>
          <rPr>
            <b/>
            <sz val="9"/>
            <color indexed="81"/>
            <rFont val="Segoe UI"/>
            <family val="2"/>
          </rPr>
          <t>Bitte genau benennen</t>
        </r>
      </text>
    </comment>
    <comment ref="I68" authorId="2" shapeId="0" xr:uid="{2B881F71-68BF-4469-A4E6-EFF4DDD2DF96}">
      <text>
        <r>
          <rPr>
            <b/>
            <sz val="9"/>
            <color indexed="81"/>
            <rFont val="Segoe UI"/>
            <family val="2"/>
          </rPr>
          <t>Gesamtbetrag eintragen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Tobias F. Oertel</author>
  </authors>
  <commentList>
    <comment ref="F27" authorId="0" shapeId="0" xr:uid="{00000000-0006-0000-0200-000001000000}">
      <text>
        <r>
          <rPr>
            <sz val="9"/>
            <color indexed="81"/>
            <rFont val="Segoe UI"/>
            <family val="2"/>
          </rPr>
          <t>bei Fahrkarten der 1. Klasse werden maximal die Kosten einer der 2. Klasse erstattet.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Tobias F. Oertel</author>
  </authors>
  <commentList>
    <comment ref="F27" authorId="0" shapeId="0" xr:uid="{ED8E4869-C2D3-4114-8A39-8FC16676D39F}">
      <text>
        <r>
          <rPr>
            <sz val="9"/>
            <color indexed="81"/>
            <rFont val="Segoe UI"/>
            <family val="2"/>
          </rPr>
          <t>bei Fahrkarten der 1. Klasse werden maximal die Kosten einer der 2. Klasse erstattet.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Schmidt</author>
    <author>bbv</author>
  </authors>
  <commentList>
    <comment ref="E10" authorId="0" shapeId="0" xr:uid="{A38BEF7C-4603-4BA2-A773-A41B5113F5C1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0" authorId="1" shapeId="0" xr:uid="{AEC42FD0-BF99-4425-80A7-5F90F59EF16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0" authorId="0" shapeId="0" xr:uid="{39F29590-4E15-451C-8BF5-9E44B9041197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0" authorId="0" shapeId="0" xr:uid="{BFF0FE46-55A6-4E7E-BEF5-C7B137A1B102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0" authorId="0" shapeId="0" xr:uid="{DF046C1E-5783-4FFF-BE5F-E4C9E71D02B2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0" authorId="1" shapeId="0" xr:uid="{9DF9999A-7825-42B2-849F-24FC3D44D3F3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0" authorId="1" shapeId="0" xr:uid="{D84D540D-19EA-4353-8D99-6195D3F9F766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0" authorId="1" shapeId="0" xr:uid="{99254A87-132C-4CCB-978D-487985B54262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1" authorId="0" shapeId="0" xr:uid="{DC63E323-E92F-405C-A2ED-9BF5F1A514B9}">
      <text>
        <r>
          <rPr>
            <sz val="9"/>
            <color indexed="81"/>
            <rFont val="Segoe UI"/>
            <family val="2"/>
          </rPr>
          <t xml:space="preserve">dieses Feld ist zur korrekten Berechnung des Honorares zwingend auszufüllen
siehe ****)
</t>
        </r>
      </text>
    </comment>
    <comment ref="J11" authorId="1" shapeId="0" xr:uid="{63A10816-66AF-4852-9CB2-C299983ADDF8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1" authorId="0" shapeId="0" xr:uid="{F31A398D-70CA-4F6B-804A-060640BBEA46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1" authorId="0" shapeId="0" xr:uid="{618E967F-6A6C-4E8C-9A66-E83F522E586F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1" authorId="0" shapeId="0" xr:uid="{A9E197A8-158C-44B1-9852-23C9A577B6CC}">
      <text>
        <r>
          <rPr>
            <sz val="9"/>
            <color indexed="81"/>
            <rFont val="Segoe UI"/>
            <family val="2"/>
          </rPr>
          <t xml:space="preserve">dieses Feld ist  zur korrekten Berechnung zwingend auszufüllen
</t>
        </r>
      </text>
    </comment>
    <comment ref="P11" authorId="1" shapeId="0" xr:uid="{5BF97B60-0847-400C-A625-FCF77792CCF1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1" authorId="1" shapeId="0" xr:uid="{B9ED4226-3284-43B1-9B58-4106ABE4F5A2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1" authorId="1" shapeId="0" xr:uid="{BBB1D9E4-5C18-4FFD-96A2-2AB4391BCB9E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2" authorId="0" shapeId="0" xr:uid="{6E9C00A6-1149-4A01-94F0-3EFEF264F381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2" authorId="1" shapeId="0" xr:uid="{DA98A34C-8B35-4C82-B50B-BA2B9F50A23C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2" authorId="0" shapeId="0" xr:uid="{83C0246C-811E-4060-AD89-6E018FB6D33D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2" authorId="0" shapeId="0" xr:uid="{AB08D056-C6A8-431D-B2A7-A42FC4EF8D0E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2" authorId="0" shapeId="0" xr:uid="{8B96CC49-4B5F-429F-87A2-8FB7AB705D56}">
      <text>
        <r>
          <rPr>
            <sz val="9"/>
            <color indexed="81"/>
            <rFont val="Segoe UI"/>
            <family val="2"/>
          </rPr>
          <t xml:space="preserve">dieses Feld ist  zur korrekten Berechnung zwingend auszufüllen
</t>
        </r>
      </text>
    </comment>
    <comment ref="P12" authorId="1" shapeId="0" xr:uid="{FE11DE45-639D-4A54-A300-BEE9ADFBA32E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2" authorId="1" shapeId="0" xr:uid="{F243458F-0EE2-4770-B4A0-8F2FF62FBAA5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2" authorId="1" shapeId="0" xr:uid="{64AFF5CE-4E56-4655-A388-B63F4FE304C8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3" authorId="0" shapeId="0" xr:uid="{93F34590-3CFE-486C-A76B-28AD1F96326E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3" authorId="1" shapeId="0" xr:uid="{510B1FA0-9421-46C8-8738-8CD57FF7AC16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3" authorId="0" shapeId="0" xr:uid="{0691E162-F4EC-4681-B847-F6E44A5C3B2A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3" authorId="0" shapeId="0" xr:uid="{002F81F1-1650-4094-84D7-26BE7D9AD786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3" authorId="0" shapeId="0" xr:uid="{1E16A13E-0303-44AA-A8F9-DA79436D4E80}">
      <text>
        <r>
          <rPr>
            <b/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3" authorId="1" shapeId="0" xr:uid="{72860FA1-814D-423F-9856-44A392CB1149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3" authorId="1" shapeId="0" xr:uid="{6DB85D9D-C4D4-4D88-B2EA-A2FB6E4B6C17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3" authorId="1" shapeId="0" xr:uid="{B5484BEE-59BD-4129-BC87-81828C754935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4" authorId="0" shapeId="0" xr:uid="{5484F9C1-A14A-4283-B7BC-112AE4890A24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4" authorId="1" shapeId="0" xr:uid="{44FA25F6-CA6A-4BCB-819A-1461762C1A39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4" authorId="0" shapeId="0" xr:uid="{7213DFD8-B824-43C4-A233-D337C17A28D0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4" authorId="0" shapeId="0" xr:uid="{DD5E6654-1FB2-45AD-9ED7-CA5272C3B9A4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O14" authorId="0" shapeId="0" xr:uid="{A32F6774-6B73-4E2A-8A1F-E7D56EE41076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4" authorId="1" shapeId="0" xr:uid="{AD9E8C16-6A1F-4213-89E0-C2B49E500726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4" authorId="1" shapeId="0" xr:uid="{33675AC4-3AF3-473B-8424-B45C4F223563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4" authorId="1" shapeId="0" xr:uid="{C3DBB9A7-6D70-4FD0-99B6-4A2D3B45EC26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5" authorId="0" shapeId="0" xr:uid="{4474622D-12C2-489B-AC1A-5F06CB9CACB0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5" authorId="1" shapeId="0" xr:uid="{914681C2-5581-4967-8BBB-729B3A721419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5" authorId="0" shapeId="0" xr:uid="{0B1F0788-4C9B-4C76-9AFB-AEB0AD75D098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5" authorId="0" shapeId="0" xr:uid="{E3FC811D-C155-47EE-A189-4CFD47FA09D5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O15" authorId="0" shapeId="0" xr:uid="{14961A9B-0CC3-4937-87F4-FE123023E7B2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5" authorId="1" shapeId="0" xr:uid="{0B091725-5993-4A6E-AB68-CDF745810A20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5" authorId="1" shapeId="0" xr:uid="{47AADA77-FF2D-42AD-BDEC-C92BCEE7EB21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5" authorId="1" shapeId="0" xr:uid="{7475C943-34A4-4D94-8F3E-BC661994D515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6" authorId="0" shapeId="0" xr:uid="{08F46179-90F5-4B11-A91E-9F6A87598A5E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6" authorId="1" shapeId="0" xr:uid="{6D617E33-4E52-4DC6-8A13-9DBE7310C8E7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6" authorId="0" shapeId="0" xr:uid="{97213597-745D-483F-832C-ABF4E873300E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6" authorId="0" shapeId="0" xr:uid="{9582DC1C-3175-4FB6-869E-D72755B3F2C1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6" authorId="0" shapeId="0" xr:uid="{D642F304-D31E-493D-BE71-1F40D7587E57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6" authorId="1" shapeId="0" xr:uid="{54E6D1E4-68A7-4922-8C65-23C43B6A4EFE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6" authorId="1" shapeId="0" xr:uid="{2E30E78C-FA88-4969-9DCC-86D38FFD6E1F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6" authorId="1" shapeId="0" xr:uid="{27BAC2E9-F988-44D4-BCDE-E0B9405B03BA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7" authorId="0" shapeId="0" xr:uid="{C056FA9F-E4DE-455F-BAA2-4CB817C7F7E8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7" authorId="1" shapeId="0" xr:uid="{A0A55041-9681-4DBD-93BB-C9D0445FB66B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7" authorId="0" shapeId="0" xr:uid="{5240DC08-C542-4411-9C3D-13C107BEA990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7" authorId="0" shapeId="0" xr:uid="{49B3615A-C68E-4867-BF29-E4D38E32B400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7" authorId="0" shapeId="0" xr:uid="{8AA091EE-7ED8-4616-9159-D2CDEBF92BFD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7" authorId="1" shapeId="0" xr:uid="{196D1578-437D-4CC1-963E-87F0F65B8856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7" authorId="1" shapeId="0" xr:uid="{D34CAA11-BF91-448C-8795-0FD54980A128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7" authorId="1" shapeId="0" xr:uid="{A3CD90FE-E8B7-4097-9936-6875435A658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8" authorId="0" shapeId="0" xr:uid="{7563E472-26A1-44C3-BBB1-266D379680DD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8" authorId="1" shapeId="0" xr:uid="{23F10D80-8CEF-42CD-A8CA-E7D0542F3F37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8" authorId="0" shapeId="0" xr:uid="{5AA4CDD0-6CDB-4501-9D61-0A7F7FDEC138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8" authorId="0" shapeId="0" xr:uid="{2686E656-E4B3-4889-A4C6-E4A5D7A9423A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8" authorId="0" shapeId="0" xr:uid="{F12D72BA-AFC2-47EC-AF65-51A61166A187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8" authorId="1" shapeId="0" xr:uid="{7706BAB2-57C0-4E14-B65B-53B2E6FA943B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8" authorId="1" shapeId="0" xr:uid="{E21A0BB1-0D24-44CB-988A-4B357E91E996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8" authorId="1" shapeId="0" xr:uid="{93256DEF-4FA7-480E-9846-FD8D53ABC0BD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19" authorId="0" shapeId="0" xr:uid="{7633FE0F-C100-4267-A08E-8180998C6255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19" authorId="1" shapeId="0" xr:uid="{114FB855-E9F7-44D3-91FA-0A6F966ABF4D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19" authorId="0" shapeId="0" xr:uid="{FD21A6DB-204F-4725-805E-6A900FBD1222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19" authorId="0" shapeId="0" xr:uid="{D4F03111-09F9-4F0B-BCC2-BE2B80694932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19" authorId="0" shapeId="0" xr:uid="{994D008A-D987-4500-91F1-30FCCF98C1C8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19" authorId="1" shapeId="0" xr:uid="{096AB36E-023C-429A-8859-970914928F48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19" authorId="1" shapeId="0" xr:uid="{3A6A3395-681B-44A4-9781-7EFDB0E41A1E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19" authorId="1" shapeId="0" xr:uid="{241C46A5-5969-40B2-B1CD-CD06AF7381A4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0" authorId="0" shapeId="0" xr:uid="{59B8966D-9F83-4CA6-9D80-7C324446DA7F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0" authorId="1" shapeId="0" xr:uid="{B007E288-D32D-4D31-9E21-9CBB740D6676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0" authorId="0" shapeId="0" xr:uid="{B264EC7E-C4A9-44CB-AC55-8C8AE567AF5B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0" authorId="0" shapeId="0" xr:uid="{D5FCD99B-369C-4D57-BFD9-6E0F6897F3C7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0" authorId="0" shapeId="0" xr:uid="{FDC1B6A8-C2B1-44CF-B9B2-7B75694FB590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0" authorId="1" shapeId="0" xr:uid="{12168930-F876-40C8-BEF4-3562E4784F99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0" authorId="1" shapeId="0" xr:uid="{73E4C7C2-36E4-4313-9029-2C76ECA8DC8D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0" authorId="1" shapeId="0" xr:uid="{C779C195-1E07-4DEA-B7E9-C6F476FCD471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1" authorId="0" shapeId="0" xr:uid="{459A673F-7FBA-4109-A75E-356F1460A81F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1" authorId="1" shapeId="0" xr:uid="{A46A427E-F3FB-4AE7-96F3-DEDBBE74AE6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1" authorId="0" shapeId="0" xr:uid="{F8CBC79A-DD72-4744-8A40-B3D144926D65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1" authorId="0" shapeId="0" xr:uid="{FE83BAA1-AFAF-4002-85FE-50A5D3F8BF9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1" authorId="0" shapeId="0" xr:uid="{C160036A-DD59-4BD3-BB0F-C88EE493649E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1" authorId="1" shapeId="0" xr:uid="{E541614D-56B2-42B8-BC62-9DD3FE83194F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1" authorId="1" shapeId="0" xr:uid="{F8805142-3C85-4AF3-BB34-0039ED975BC1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1" authorId="1" shapeId="0" xr:uid="{585F9D11-FECA-4D5C-8F81-D0DB53CD549D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2" authorId="0" shapeId="0" xr:uid="{77FBADD7-7732-4284-A9B6-72ADD17B8622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2" authorId="1" shapeId="0" xr:uid="{2C3A8515-F440-44BA-8C56-714201F0208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2" authorId="0" shapeId="0" xr:uid="{1680FB93-CBF5-428C-B9CC-DF7937DB034A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2" authorId="0" shapeId="0" xr:uid="{932697C0-9959-45CD-81AD-EC34DB0468EB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2" authorId="0" shapeId="0" xr:uid="{912CA89D-3A42-4190-B7C5-F015FC2F7788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2" authorId="1" shapeId="0" xr:uid="{5B861B29-3EF5-4200-AC4A-F5D70E6C3B37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2" authorId="1" shapeId="0" xr:uid="{07F0ADAE-FB49-4082-9DCE-D47340792AED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2" authorId="1" shapeId="0" xr:uid="{7814724C-8CC0-4F45-816D-78E92222CB45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3" authorId="0" shapeId="0" xr:uid="{68369901-0F5A-4DCC-B532-1971E057F02A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3" authorId="1" shapeId="0" xr:uid="{92F68CFD-A1DB-4A22-BA7A-AA23431B6DD7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3" authorId="0" shapeId="0" xr:uid="{540D895C-51BB-4DAA-B13E-8DE456322AD2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3" authorId="0" shapeId="0" xr:uid="{0AB77B5D-314B-489C-8518-D6B8F07CD701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3" authorId="0" shapeId="0" xr:uid="{CDFABD9A-FE72-457D-AA05-6407A32822D7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3" authorId="1" shapeId="0" xr:uid="{540472E3-85BD-4B4B-857D-87AFE693C7E4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3" authorId="1" shapeId="0" xr:uid="{3B0DE250-C30D-4CF7-A354-33A17CE85E05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3" authorId="1" shapeId="0" xr:uid="{A4B903E6-1F64-485C-8898-79622F095472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4" authorId="0" shapeId="0" xr:uid="{5A5F7D0C-DD93-40A0-A423-297AC7EC2F76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4" authorId="1" shapeId="0" xr:uid="{33CA581B-5587-4A22-974A-50E8F4E7BC4C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4" authorId="0" shapeId="0" xr:uid="{6F1DE5F4-E531-4843-9BC2-3343558213F8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4" authorId="0" shapeId="0" xr:uid="{BEE5D939-46EE-4DFD-B5EB-EC8C55ACABAB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4" authorId="0" shapeId="0" xr:uid="{3EB78072-3B09-4C29-A369-071AAC97FCE1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4" authorId="1" shapeId="0" xr:uid="{8F81B06A-7410-4B2B-B45C-456475CC7830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4" authorId="1" shapeId="0" xr:uid="{37BBE2D2-69BB-4B10-92AD-365D16AB9888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4" authorId="1" shapeId="0" xr:uid="{D93C59BE-1B78-48BC-847C-B265AED374BC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5" authorId="0" shapeId="0" xr:uid="{D6B52C4A-B2DA-4AF1-BEF6-0EF19E98BEA9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5" authorId="1" shapeId="0" xr:uid="{A5DE6497-B907-44B9-B67E-D660C205080F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5" authorId="0" shapeId="0" xr:uid="{57A2DE38-8AC6-4ABF-BF0C-241C6AFD31F7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5" authorId="0" shapeId="0" xr:uid="{1BD498AD-7C3C-4038-83A5-ED4EDC5A5155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5" authorId="0" shapeId="0" xr:uid="{5F75F56E-8F25-4806-A0B4-A7D21A414053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5" authorId="1" shapeId="0" xr:uid="{461B0FA3-F011-48EB-9362-5841DA1EC01C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5" authorId="1" shapeId="0" xr:uid="{5E446727-0A65-4A9A-AE43-49C6EEECA5A8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5" authorId="1" shapeId="0" xr:uid="{72B8B576-4035-48B2-85B6-013D994FBB20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6" authorId="0" shapeId="0" xr:uid="{EC53CCB9-19E8-405C-A713-361E7FC4B8AA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6" authorId="1" shapeId="0" xr:uid="{6744294B-4AEE-41BC-82A2-5085059EFA90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6" authorId="0" shapeId="0" xr:uid="{261CE5A2-7584-4803-8391-62FBA6AE0167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6" authorId="0" shapeId="0" xr:uid="{AF11F9E9-56C5-49E6-B07F-9230B60E2337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6" authorId="0" shapeId="0" xr:uid="{97AD3BB7-1F96-40A6-8936-3CA9D3768160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6" authorId="1" shapeId="0" xr:uid="{19436FFA-95DA-4CFD-9F8D-1504EB859D82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6" authorId="1" shapeId="0" xr:uid="{54828B8C-9F7C-46C2-B898-19FBEECCEE11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6" authorId="1" shapeId="0" xr:uid="{1E428671-936A-4006-89F9-570880183D1B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7" authorId="0" shapeId="0" xr:uid="{4FF2F4A8-672F-4670-83DB-6EC6477F780F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7" authorId="1" shapeId="0" xr:uid="{90C39D3B-D5AF-48BD-A217-4F7F4E0EDDC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7" authorId="0" shapeId="0" xr:uid="{3905A562-6E94-45F1-8BCC-40E1AEB4C699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7" authorId="0" shapeId="0" xr:uid="{E8868C4E-8860-4F39-AA88-950DD03324CF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7" authorId="0" shapeId="0" xr:uid="{E130A030-9CBF-4F19-B342-80F3522E0F5A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7" authorId="1" shapeId="0" xr:uid="{BE425328-1BC0-420D-97FC-6738564A5556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7" authorId="1" shapeId="0" xr:uid="{05C606E7-BA64-4DA7-BDC9-B1A151C2D16F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7" authorId="1" shapeId="0" xr:uid="{0B7650FC-4AFC-4F1E-B5CB-7E7C3FC74789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8" authorId="0" shapeId="0" xr:uid="{F74668CA-7906-4FE1-9C77-701FB82B009B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8" authorId="1" shapeId="0" xr:uid="{91E56F6C-5EEE-4BBC-B1DF-D70F0D22DEE4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8" authorId="0" shapeId="0" xr:uid="{06216112-8B33-492F-8BE6-0C21BC94D399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8" authorId="0" shapeId="0" xr:uid="{305BE7DB-AAAA-4C37-9052-BF73A7DAFAEF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8" authorId="0" shapeId="0" xr:uid="{D7BFD127-365F-4DC4-B0B5-4606FA7608D0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8" authorId="1" shapeId="0" xr:uid="{BFF0DAAB-4C23-4ADB-A511-D62587C0D3D6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8" authorId="1" shapeId="0" xr:uid="{0E5B818D-DCB4-41FF-8112-6AB1932DFB2A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8" authorId="1" shapeId="0" xr:uid="{BA93B125-1678-4D05-9451-A1FBAEB1E8F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29" authorId="0" shapeId="0" xr:uid="{CC53CF49-D8A9-44FA-939E-FADF22460324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29" authorId="1" shapeId="0" xr:uid="{095D5DA2-A80F-48F5-B4EA-1BF6613E968C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29" authorId="0" shapeId="0" xr:uid="{67836A65-C25C-4EDD-B49E-CF2390B49067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29" authorId="0" shapeId="0" xr:uid="{1E79F39B-DE9F-473A-9A64-122D19D43BB9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29" authorId="0" shapeId="0" xr:uid="{B4A4DE01-E6C2-4624-82B7-EDAB277DB6C6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29" authorId="1" shapeId="0" xr:uid="{B1EBDDE0-75E2-4D23-8D1D-AFE32EC4D6B1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29" authorId="1" shapeId="0" xr:uid="{731D4E37-6473-4A5C-B8E3-5F645825C44E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29" authorId="1" shapeId="0" xr:uid="{305572D8-2A23-4887-975F-35508D740157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30" authorId="0" shapeId="0" xr:uid="{B5343712-3E81-465D-AB52-66716C447CB9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30" authorId="1" shapeId="0" xr:uid="{C8972679-59F9-4D42-9BAF-CD54D311A917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30" authorId="0" shapeId="0" xr:uid="{70D29773-C01F-4570-8FB4-8A11DDCF021A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30" authorId="0" shapeId="0" xr:uid="{2CC87C16-A2F5-40BC-BF9E-E495BDAC54D2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30" authorId="0" shapeId="0" xr:uid="{734273AC-845B-48D9-860B-D735CEC0E905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30" authorId="1" shapeId="0" xr:uid="{8F11E60B-BF52-4640-8D05-72F1D6FB907E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30" authorId="1" shapeId="0" xr:uid="{071319B9-98DA-4DE9-AC99-48C09FADCEF7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30" authorId="1" shapeId="0" xr:uid="{CCBDAD68-39E0-4476-A29C-5BB798A795DD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31" authorId="0" shapeId="0" xr:uid="{D80191C9-EB7A-4C8E-B459-D3D99F663773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31" authorId="1" shapeId="0" xr:uid="{BA840F21-4406-48EA-B17D-951BD60BEC93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31" authorId="0" shapeId="0" xr:uid="{F10E5D82-58A8-4B93-B35E-46B54F7E2EEB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31" authorId="0" shapeId="0" xr:uid="{70E6B96F-07EB-46A6-84A7-418F2DE885EB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31" authorId="0" shapeId="0" xr:uid="{EC900C32-90AF-4C6B-84BB-43D56ED1C199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31" authorId="1" shapeId="0" xr:uid="{AB991DE0-754A-4532-A007-383FF73350A4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31" authorId="1" shapeId="0" xr:uid="{D635A536-7564-4523-886D-AF5DFE3606EB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31" authorId="1" shapeId="0" xr:uid="{C05BAD82-9D04-4E66-A1B9-1362D0CFDF2E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32" authorId="0" shapeId="0" xr:uid="{A729E571-3D48-459B-BDDA-09B4E82C769F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32" authorId="1" shapeId="0" xr:uid="{5973D942-30E1-4735-BF5E-1B6C967BE666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32" authorId="0" shapeId="0" xr:uid="{DE97EC49-8270-45C2-A79B-FBF43162B0EF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32" authorId="0" shapeId="0" xr:uid="{7DE2B8BC-97A0-4C24-8BB5-903E275CAE5F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32" authorId="0" shapeId="0" xr:uid="{EBDA9A96-2A51-49BD-A04D-8F944D2616EA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32" authorId="1" shapeId="0" xr:uid="{5C972F93-A8E9-4EAE-8D83-CB19B81906D5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32" authorId="1" shapeId="0" xr:uid="{84D8E138-30E2-472D-BA92-E00E227B8950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32" authorId="1" shapeId="0" xr:uid="{5C9E97BE-64A3-4F68-B278-85EC00E8FAE9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33" authorId="0" shapeId="0" xr:uid="{3A7EB454-F1E0-4545-B1F9-B4B5330F7382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33" authorId="1" shapeId="0" xr:uid="{D9ACA0D0-D931-4AF2-A4D8-C9377F960EF2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33" authorId="0" shapeId="0" xr:uid="{76E34EBE-B4F2-4ACA-A9DD-A3CD0D299A0A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33" authorId="0" shapeId="0" xr:uid="{83871113-6658-4D91-9050-921F8CDEE604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33" authorId="0" shapeId="0" xr:uid="{51C62CF2-F11E-4409-BE79-6809124CF34F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33" authorId="1" shapeId="0" xr:uid="{4904E42C-DBFC-4CD8-85D6-DAE021B9C2A6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33" authorId="1" shapeId="0" xr:uid="{439F98F9-A8A5-4610-93C4-9FA9F7367050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33" authorId="1" shapeId="0" xr:uid="{AF4D9C8E-376F-4FC5-B121-986DB5C367BC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E34" authorId="0" shapeId="0" xr:uid="{AD659B82-E66C-4D25-B53B-7BE70A0CDC9B}">
      <text>
        <r>
          <rPr>
            <sz val="9"/>
            <color indexed="81"/>
            <rFont val="Segoe UI"/>
            <family val="2"/>
          </rPr>
          <t>dieses Feld ist zur korrekten Berechnung des Honorares zwingend auszufüllen
siehe ****)</t>
        </r>
      </text>
    </comment>
    <comment ref="J34" authorId="1" shapeId="0" xr:uid="{37FE86FE-6F3F-4E04-9BEF-0492D13398A0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K34" authorId="0" shapeId="0" xr:uid="{99FCE208-0C21-46BD-85C4-BAC3AAE526C2}">
      <text>
        <r>
          <rPr>
            <sz val="9"/>
            <color indexed="81"/>
            <rFont val="Segoe UI"/>
            <family val="2"/>
          </rPr>
          <t>dieses Feld ist zur korrekten Berechnung zwingend auszufüllen</t>
        </r>
      </text>
    </comment>
    <comment ref="L34" authorId="0" shapeId="0" xr:uid="{B5787478-B0D8-4418-A295-AA22AF62049F}">
      <text>
        <r>
          <rPr>
            <sz val="9"/>
            <color indexed="81"/>
            <rFont val="Segoe UI"/>
            <family val="2"/>
          </rPr>
          <t>wird automatisch berechnet</t>
        </r>
      </text>
    </comment>
    <comment ref="O34" authorId="0" shapeId="0" xr:uid="{894633FD-D141-467C-8DDD-8C93F8158405}">
      <text>
        <r>
          <rPr>
            <sz val="9"/>
            <color indexed="81"/>
            <rFont val="Segoe UI"/>
            <family val="2"/>
          </rPr>
          <t>dieses Feld ist  zur korrekten Berechnung zwingend auszufüllen</t>
        </r>
      </text>
    </comment>
    <comment ref="P34" authorId="1" shapeId="0" xr:uid="{F523BB9B-08B5-4D90-9D23-8FFB18435CAB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Q34" authorId="1" shapeId="0" xr:uid="{CD02C32F-D80E-4FA3-B6D5-8FA50E1E9690}">
      <text>
        <r>
          <rPr>
            <sz val="9"/>
            <color indexed="81"/>
            <rFont val="Segoe UI"/>
            <family val="2"/>
          </rPr>
          <t>wird automatisch ausgefüllt</t>
        </r>
      </text>
    </comment>
    <comment ref="S34" authorId="1" shapeId="0" xr:uid="{5C441641-2275-43F3-BA9F-9AF001CAC91F}">
      <text>
        <r>
          <rPr>
            <sz val="9"/>
            <color indexed="81"/>
            <rFont val="Segoe UI"/>
            <family val="2"/>
          </rPr>
          <t>wird automatisch berechnet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tfoertel</author>
  </authors>
  <commentList>
    <comment ref="E7" authorId="0" shapeId="0" xr:uid="{00000000-0006-0000-0700-000001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TK = Talentkader
BK = Bundeskader
LK = Landeskader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tfoertel</author>
  </authors>
  <commentList>
    <comment ref="J3" authorId="0" shapeId="0" xr:uid="{00000000-0006-0000-0900-000001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füllt Abrechnungsstelle aus</t>
        </r>
      </text>
    </comment>
    <comment ref="D7" authorId="0" shapeId="0" xr:uid="{00000000-0006-0000-0900-000002000000}">
      <text>
        <r>
          <rPr>
            <b/>
            <sz val="9"/>
            <color indexed="81"/>
            <rFont val="Segoe UI"/>
            <family val="2"/>
          </rPr>
          <t>Schatzmeister:</t>
        </r>
        <r>
          <rPr>
            <sz val="9"/>
            <color indexed="81"/>
            <rFont val="Segoe UI"/>
            <family val="2"/>
          </rPr>
          <t xml:space="preserve">
TK = Talentkader
BK = Bundeskader
LK = Landeskader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<sst xmlns="http://schemas.openxmlformats.org/spreadsheetml/2006/main" count="1022" uniqueCount="447">
  <si>
    <t>Reisekostenabrechnung</t>
  </si>
  <si>
    <t xml:space="preserve"> </t>
  </si>
  <si>
    <t>Verband/Bezirk:</t>
  </si>
  <si>
    <t>IBAN</t>
  </si>
  <si>
    <t>Fahrt  von</t>
  </si>
  <si>
    <t>nach</t>
  </si>
  <si>
    <t>und zurück</t>
  </si>
  <si>
    <t>Abfahrt Wohnung am:</t>
  </si>
  <si>
    <t>Datum</t>
  </si>
  <si>
    <t>um</t>
  </si>
  <si>
    <t>Uhr</t>
  </si>
  <si>
    <t>Ankunft Wohnung am:</t>
  </si>
  <si>
    <t>Anzahl der Wiederholungen:</t>
  </si>
  <si>
    <t>Fahrtkosten</t>
  </si>
  <si>
    <t>Benutzung der dt. Bahn</t>
  </si>
  <si>
    <t>.Kl. (lt.Beleg)</t>
  </si>
  <si>
    <t>=</t>
  </si>
  <si>
    <t>Benutzung eines eigenen PKW</t>
  </si>
  <si>
    <t>km</t>
  </si>
  <si>
    <t>x</t>
  </si>
  <si>
    <t>Mitnahme von Personen im PKW</t>
  </si>
  <si>
    <t xml:space="preserve">öffentliche Verkehrsmittel </t>
  </si>
  <si>
    <t>sonstiges</t>
  </si>
  <si>
    <t>∑</t>
  </si>
  <si>
    <t>Begründung</t>
  </si>
  <si>
    <t>Übernachtungs-</t>
  </si>
  <si>
    <t>kosten</t>
  </si>
  <si>
    <t>Nächte je</t>
  </si>
  <si>
    <t>Tagegeld</t>
  </si>
  <si>
    <t>Abwesenheit von der Wohnung</t>
  </si>
  <si>
    <t>eintägig</t>
  </si>
  <si>
    <t>mehrtägig</t>
  </si>
  <si>
    <t>- über   6 Stunden</t>
  </si>
  <si>
    <t>Tag à</t>
  </si>
  <si>
    <t>Tag(e) à</t>
  </si>
  <si>
    <t>- über   8 Stunden</t>
  </si>
  <si>
    <t>- über 12 Stunden</t>
  </si>
  <si>
    <t>abzgl.</t>
  </si>
  <si>
    <t>Mittagessen erhalten?</t>
  </si>
  <si>
    <t>Eintägig</t>
  </si>
  <si>
    <t>Mehrtägig Start</t>
  </si>
  <si>
    <t>Mehrtägig Ende</t>
  </si>
  <si>
    <t>Mehrtägig Zwischentage</t>
  </si>
  <si>
    <t>Abrechnung Hilfe</t>
  </si>
  <si>
    <t>Mehrtägig 6</t>
  </si>
  <si>
    <t>Mehrtägig 8</t>
  </si>
  <si>
    <t>Mehrtägig 12</t>
  </si>
  <si>
    <t>Prozent 1</t>
  </si>
  <si>
    <t>Prozent 2</t>
  </si>
  <si>
    <t>Prozent 3</t>
  </si>
  <si>
    <t>Berechnungsgrundlagen für die einzelnen Bezirke bzw. den BBV</t>
  </si>
  <si>
    <t>Bezirk</t>
  </si>
  <si>
    <t>KM-Satz</t>
  </si>
  <si>
    <t>KM-Satz Beifahrer</t>
  </si>
  <si>
    <t>Eintägig 6</t>
  </si>
  <si>
    <t>Eintägig 8</t>
  </si>
  <si>
    <t>Frühstück</t>
  </si>
  <si>
    <t>Mittagessen</t>
  </si>
  <si>
    <t>Abendessen</t>
  </si>
  <si>
    <t>Name Schatzmeister</t>
  </si>
  <si>
    <t>Straße Schatzmeister</t>
  </si>
  <si>
    <t>PLZ Schatzmeister</t>
  </si>
  <si>
    <t>Ort Schatzmeister</t>
  </si>
  <si>
    <t>BBV</t>
  </si>
  <si>
    <t>München</t>
  </si>
  <si>
    <t>Hilfe Verpflegung</t>
  </si>
  <si>
    <t>Frühstück Hilfe</t>
  </si>
  <si>
    <t>Satz Abreise Abendessen</t>
  </si>
  <si>
    <t>Abendessen Hilfe</t>
  </si>
  <si>
    <t>Satz Anreise Frühstück</t>
  </si>
  <si>
    <t>Summe</t>
  </si>
  <si>
    <t>PKW-km</t>
  </si>
  <si>
    <t>in €</t>
  </si>
  <si>
    <t>€</t>
  </si>
  <si>
    <t>Kilometersatz Masse</t>
  </si>
  <si>
    <t>Mitfahrer</t>
  </si>
  <si>
    <t>Name</t>
  </si>
  <si>
    <t>o</t>
  </si>
  <si>
    <t>Honorarabrechnung</t>
  </si>
  <si>
    <t xml:space="preserve">  S t u n d e n n a c h w e i s   für</t>
  </si>
  <si>
    <t>Vormittag</t>
  </si>
  <si>
    <t>Nachmittag</t>
  </si>
  <si>
    <t>Abend</t>
  </si>
  <si>
    <t>Unterrichts-</t>
  </si>
  <si>
    <t>von</t>
  </si>
  <si>
    <t>bis</t>
  </si>
  <si>
    <t xml:space="preserve">   von</t>
  </si>
  <si>
    <t xml:space="preserve">bis   </t>
  </si>
  <si>
    <t>Als Honorar wurde vereinbart:</t>
  </si>
  <si>
    <t>Honorar</t>
  </si>
  <si>
    <t>UE gesamt</t>
  </si>
  <si>
    <t>Gesamt €</t>
  </si>
  <si>
    <t>je Unterrichtseinheit</t>
  </si>
  <si>
    <t xml:space="preserve">Nachmittag </t>
  </si>
  <si>
    <t>Behandlung als:</t>
  </si>
  <si>
    <t>Kilometersatz Masse Beifahrer</t>
  </si>
  <si>
    <t>Geschäftsstelle</t>
  </si>
  <si>
    <t>Bayerischer Badminton-Verband e.V.</t>
  </si>
  <si>
    <t>Übungsleiterpauschale gemäß §3, 26 EStG</t>
  </si>
  <si>
    <t>Ehrenamtspauschale gemäß §3, 26a EStG</t>
  </si>
  <si>
    <t>auszufüllen durch die GS</t>
  </si>
  <si>
    <t>Das Honorar wird ausschließlich an die</t>
  </si>
  <si>
    <t>Bestätigung</t>
  </si>
  <si>
    <t>vorhanden</t>
  </si>
  <si>
    <t>Freibetrag</t>
  </si>
  <si>
    <t>ausreichend</t>
  </si>
  <si>
    <t>auszufüllen durch</t>
  </si>
  <si>
    <t>TALENTFÖRDERUNG</t>
  </si>
  <si>
    <t>Fachverband:</t>
  </si>
  <si>
    <t>5102 Badminton</t>
  </si>
  <si>
    <t>Lehrgangsort:</t>
  </si>
  <si>
    <t xml:space="preserve">Maßnahme Nr.: </t>
  </si>
  <si>
    <t>Lehrgangsbeginn:</t>
  </si>
  <si>
    <t>Lehrgangsende:</t>
  </si>
  <si>
    <t xml:space="preserve">Datum, Uhrzeit </t>
  </si>
  <si>
    <t>Datum, Uhrzeit</t>
  </si>
  <si>
    <t xml:space="preserve">   Name, Vorname des Teilnehmers</t>
  </si>
  <si>
    <t>Jahr-
gang</t>
  </si>
  <si>
    <t>Kaderzu-gehörigkeit</t>
  </si>
  <si>
    <t>Abwesenheit vom Wohnort</t>
  </si>
  <si>
    <t>Abfahrt</t>
  </si>
  <si>
    <t>Rückkehr</t>
  </si>
  <si>
    <t>Datum/Uhrzeit</t>
  </si>
  <si>
    <t>Summe:</t>
  </si>
  <si>
    <t>Hiermit bestätige ich die Richtigkeit der Angaben:</t>
  </si>
  <si>
    <t>Unterschrift des Lehrgangsleiters:</t>
  </si>
  <si>
    <t>Maßnahme-Nr.:</t>
  </si>
  <si>
    <t>Übertrag:</t>
  </si>
  <si>
    <t xml:space="preserve">   Name des Betreuers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</si>
  <si>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</si>
  <si>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</si>
  <si>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</si>
  <si>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</si>
  <si>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</si>
  <si>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</si>
  <si>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</si>
  <si>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</si>
  <si>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</si>
  <si>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</si>
  <si>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</si>
  <si>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</si>
  <si>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</si>
  <si>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</si>
  <si>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</si>
  <si>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</si>
  <si>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</si>
  <si>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</si>
  <si>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</si>
  <si>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</si>
  <si>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Stützpunktmaßnahmen</t>
  </si>
  <si>
    <t>Stützpunkt-Ort:</t>
  </si>
  <si>
    <t>Verantwortlicher/ Stützpunkttrainer:</t>
  </si>
  <si>
    <t xml:space="preserve">Zeitraum: </t>
  </si>
  <si>
    <t>Uhrzeit:</t>
  </si>
  <si>
    <t>Nr.</t>
  </si>
  <si>
    <t>Name des Teilnehmers</t>
  </si>
  <si>
    <t>Jahr-gang</t>
  </si>
  <si>
    <t>Kader</t>
  </si>
  <si>
    <t>Anwesenheit am .. (Datum)</t>
  </si>
  <si>
    <t>Kaderzugehörigkeit</t>
  </si>
  <si>
    <t>Unterschrift des Verantwortlichen/ Stützpunkttrainers:</t>
  </si>
  <si>
    <t xml:space="preserve">Maßnahme-Nr.: </t>
  </si>
  <si>
    <t>1.) Formale Voraussetzungen:</t>
  </si>
  <si>
    <t xml:space="preserve">o     Die Abrechnung sollte binnen zehn Arbeitstagen nach Lehrgangsende in der Geschäftsstelle zur Abrechnung vorliegen. </t>
  </si>
  <si>
    <t>2.) Formale Pflichtkomponenten:</t>
  </si>
  <si>
    <t>❼ Rechnung für Miete inkl. Steuernummer (von Sporthallen, Sporteinrichtungen)</t>
  </si>
  <si>
    <t>❽ Kosten für Lehrmaterial (Bälle, o.ä.)</t>
  </si>
  <si>
    <t>❸ falls erforderlich: BLSV Auslandsgenehmigung (z.B. bei Talentteam Bayern Lehrgängen im Ausland)</t>
  </si>
  <si>
    <t>o      Die Kosten für die Sportschule Oberhaching werden pauschal über den Verband abgewickelt.</t>
  </si>
  <si>
    <t>❶ Deckblatt, Lehrgangseinladung und Ablaufprogramm (bei Stützpunktmaßnahmen je Halbjahr oder bei Änderungen)</t>
  </si>
  <si>
    <t>o      Die Einzelposten müssen auf dem Kassenausdruck erkennbar sein.</t>
  </si>
  <si>
    <t>o      Die Rechnung  muss die Anzahl der Personen enthalten.</t>
  </si>
  <si>
    <t>* 1 Unterrichtseinheit (UE) = 60 Minuten</t>
  </si>
  <si>
    <t>o      Übernachtungskosten sind nach Möglichkeit pauschal durch die zuständige BBV GS zu zahlen.</t>
  </si>
  <si>
    <t>Kostenstelle</t>
  </si>
  <si>
    <t xml:space="preserve"> (Beleg bitte beifügen)</t>
  </si>
  <si>
    <t>Bahn*</t>
  </si>
  <si>
    <t>Hotel*</t>
  </si>
  <si>
    <t>Schatzmeister</t>
  </si>
  <si>
    <t>Tageshöchstsatz</t>
  </si>
  <si>
    <t>Ort</t>
  </si>
  <si>
    <t>Lehrwesen</t>
  </si>
  <si>
    <t>Abrechnungsstelle</t>
  </si>
  <si>
    <t>Breitensport</t>
  </si>
  <si>
    <t>Schulsport</t>
  </si>
  <si>
    <t>Reisekosten</t>
  </si>
  <si>
    <t>LfK-Maßnahme</t>
  </si>
  <si>
    <t>Förderung über LfK-Mittel gewünscht?</t>
  </si>
  <si>
    <t>Konto</t>
  </si>
  <si>
    <t>Hotel</t>
  </si>
  <si>
    <t>Mietwagen</t>
  </si>
  <si>
    <t>Meldegebühren</t>
  </si>
  <si>
    <t>Auslagen für Dritte mit Beleg</t>
  </si>
  <si>
    <t>zu überweisen</t>
  </si>
  <si>
    <t>Gesamtaufwand</t>
  </si>
  <si>
    <t>Sachlich und rechnerisch richtig</t>
  </si>
  <si>
    <t>Schiedsrichter</t>
  </si>
  <si>
    <t>Frauensport</t>
  </si>
  <si>
    <t>Ehrenamt</t>
  </si>
  <si>
    <t>Medien&amp;Marketing</t>
  </si>
  <si>
    <t>Bezirk Unterfranken</t>
  </si>
  <si>
    <t>Bezirk Mittelfranken</t>
  </si>
  <si>
    <t>Bezirk Oberfranken</t>
  </si>
  <si>
    <t>Bezirk Schwaben</t>
  </si>
  <si>
    <t>Bezirk Oberbayern</t>
  </si>
  <si>
    <t>Bezirk Niederbayern/Oberpfalz</t>
  </si>
  <si>
    <t>ÖPNV-Karten</t>
  </si>
  <si>
    <t>Sonstiges</t>
  </si>
  <si>
    <t>Verpflegung</t>
  </si>
  <si>
    <t>bitte wählen</t>
  </si>
  <si>
    <t>Honorarsumme</t>
  </si>
  <si>
    <t>Bezirk in Ressort?</t>
  </si>
  <si>
    <t>Umleitung auf GS Süd</t>
  </si>
  <si>
    <t>GS Nord</t>
  </si>
  <si>
    <t>GS Süd</t>
  </si>
  <si>
    <t>Bez UFR</t>
  </si>
  <si>
    <t>Bez MFR</t>
  </si>
  <si>
    <t>Bez OFR</t>
  </si>
  <si>
    <t>Bez SWN</t>
  </si>
  <si>
    <t>Bez OBB</t>
  </si>
  <si>
    <t>Bez N/O</t>
  </si>
  <si>
    <t>auszufüllen durch
Abrechnungsstelle</t>
  </si>
  <si>
    <t>LfK-Abrechnung?</t>
  </si>
  <si>
    <t>Vorzahlungssumme</t>
  </si>
  <si>
    <t>GS-Vorzahlung?</t>
  </si>
  <si>
    <t>Einfache Abrechnung?</t>
  </si>
  <si>
    <t>Onlineabrechnung ohne Deckblatt möglich!</t>
  </si>
  <si>
    <t>Bälle</t>
  </si>
  <si>
    <t>BBV im BLSV Bezirk Mittelfranken, Dutzendteichstraße 24, 90478 Nürnberg</t>
  </si>
  <si>
    <t>Adresse ArSt</t>
  </si>
  <si>
    <t>Vorschusszahlung</t>
  </si>
  <si>
    <t>Präsidium</t>
  </si>
  <si>
    <t>Stundensatz 
zu 60 Minuten</t>
  </si>
  <si>
    <t>BBV ab 01.09.2018</t>
  </si>
  <si>
    <t>Hinweis:</t>
  </si>
  <si>
    <t>Hallenmiete</t>
  </si>
  <si>
    <t>Aktivensport</t>
  </si>
  <si>
    <t>Jugend</t>
  </si>
  <si>
    <t>Betrag</t>
  </si>
  <si>
    <t>Maßnahmenbezeichnung</t>
  </si>
  <si>
    <t>Abrechnung LV?</t>
  </si>
  <si>
    <t>Leistungssport Kader</t>
  </si>
  <si>
    <t>Leistungssport Turniere</t>
  </si>
  <si>
    <t>Leistungssport Allgemein</t>
  </si>
  <si>
    <t>Talentförderung ?</t>
  </si>
  <si>
    <t>Treibstoff</t>
  </si>
  <si>
    <t>o     Bezirksmaßnahmen mit Honorarabrechnungen sind vollständig zwingend über den LV abzurechnen.</t>
  </si>
  <si>
    <t>o      Bei Jugendmaßnahmen Erstattung von Süßigkeiten je Maßnahme von bis zu 10€.</t>
  </si>
  <si>
    <t>o      Rechnungen für soziale Aktivitäten können gemäß Maßnahmenplan erstattet werden.</t>
  </si>
  <si>
    <t xml:space="preserve">o     Die Zuständigkeit der jeweiligen Abrechnungsstelle ergibt sich aus der entsprechenden Kopfzeile im Deckblatt.  </t>
  </si>
  <si>
    <t xml:space="preserve">o     Die Bearbeitung erfolgt nach Vorliegen aller Abrechnungsunterlagen binnen weiterer zehn Arbeitstage bargeldlos. </t>
  </si>
  <si>
    <t>SSO-Teilnehmergebühr</t>
  </si>
  <si>
    <t>*) Übernachtungen (Rechnung) und Kosten für öffentliche Verkehrsmittel (Fahrkarte oder Abbuchungsbeleg) können nur mit Belegen erstattet werden.</t>
  </si>
  <si>
    <t>Honorar TO**</t>
  </si>
  <si>
    <t>Zweck der Reise</t>
  </si>
  <si>
    <t>Die Auslagen werden ausschließlich per Überweisung erstattet.</t>
  </si>
  <si>
    <t>Digitale Signatur?</t>
  </si>
  <si>
    <t>ja</t>
  </si>
  <si>
    <t>nein</t>
  </si>
  <si>
    <t>den Honorarempfangenden</t>
  </si>
  <si>
    <t>Digitale Signatur wird abgefragt, nicht unterschreiben!</t>
  </si>
  <si>
    <t>Ressort/Bezirk</t>
  </si>
  <si>
    <t>Honorare von technischen Offiziellen</t>
  </si>
  <si>
    <t>Jahrgang</t>
  </si>
  <si>
    <t>Bezirk Ndb/Opf.</t>
  </si>
  <si>
    <t>Maßnahmenleitung</t>
  </si>
  <si>
    <t>Budgetverantwortung</t>
  </si>
  <si>
    <t>Assistenz der Maßnahmenleitung</t>
  </si>
  <si>
    <t>Teilnehmende</t>
  </si>
  <si>
    <t>Adresse</t>
  </si>
  <si>
    <t>Funktion</t>
  </si>
  <si>
    <t>Im Einzelfall können abweichende Sätze durch die zuständigen Ressortleitenden und Präsidiumsmitglied beschlossen werden.</t>
  </si>
  <si>
    <t>Der Finanzausschuss ist zu informieren (finanzausschuss@badminton-bbv.de).</t>
  </si>
  <si>
    <t>Tagessatz
Schiedsrichter*innen</t>
  </si>
  <si>
    <t>B-Trainer*in</t>
  </si>
  <si>
    <t>C-Trainer*in</t>
  </si>
  <si>
    <t>Informationsblatt: Abrechnung von Lehrgangsmaßnahmen (Aus- &amp; Fortbildung sowie Trainingslehrgänge &amp; Stützpunkte)</t>
  </si>
  <si>
    <t>o      Bei regelmäßigen Stützpunkten Reiter "TF Stützpunkt Teilnehmer" ausfüllen.</t>
  </si>
  <si>
    <t>Zeitraum</t>
  </si>
  <si>
    <t>Lehrgang / Veranstaltung</t>
  </si>
  <si>
    <t>Veranstalter</t>
  </si>
  <si>
    <t>Teilnehmende / Abrechnungsliste</t>
  </si>
  <si>
    <t>der Teilnehmenden</t>
  </si>
  <si>
    <t>Nachname Vorname</t>
  </si>
  <si>
    <r>
      <t>Zahlungen der GS an Extern</t>
    </r>
    <r>
      <rPr>
        <b/>
        <sz val="6"/>
        <rFont val="Segoe UI"/>
        <family val="2"/>
      </rPr>
      <t xml:space="preserve"> (ggf. abweichendes Datum eintragen)</t>
    </r>
  </si>
  <si>
    <t>oben genannte Bankverbindung überwiesen.</t>
  </si>
  <si>
    <t>Maßnahme</t>
  </si>
  <si>
    <t>einheiten*</t>
  </si>
  <si>
    <t>Einnahmen</t>
  </si>
  <si>
    <t>TN an der Maßnahme</t>
  </si>
  <si>
    <t>Eigenbeteiligung pro TN</t>
  </si>
  <si>
    <t>TN ohne Kaderstatus</t>
  </si>
  <si>
    <t>TN Stornierungsgeb.</t>
  </si>
  <si>
    <t>Trainer</t>
  </si>
  <si>
    <t>Rückzahlungen</t>
  </si>
  <si>
    <t>Gutschrift/Gutschein</t>
  </si>
  <si>
    <t>Differenz zwischen Einnahmen und Ausgaben:</t>
  </si>
  <si>
    <t>Auslagen</t>
  </si>
  <si>
    <t>EA-Pauschale §3, 26a EstG</t>
  </si>
  <si>
    <t>ja/nein</t>
  </si>
  <si>
    <r>
      <t xml:space="preserve">Unterschrift
</t>
    </r>
    <r>
      <rPr>
        <b/>
        <sz val="8"/>
        <color rgb="FFFF0000"/>
        <rFont val="Segoe UI"/>
        <family val="2"/>
      </rPr>
      <t>Digitale Signatur wird abgefragt, nicht unterschreiben!</t>
    </r>
  </si>
  <si>
    <t>Gesamteinnahmen</t>
  </si>
  <si>
    <t>Einnahmen BBV</t>
  </si>
  <si>
    <t>Tagessatz 
Turnierausschuss
Referee</t>
  </si>
  <si>
    <t>Diplom-Trainer*in</t>
  </si>
  <si>
    <t>A-Trainer*in</t>
  </si>
  <si>
    <t>andere*r Trainer*in</t>
  </si>
  <si>
    <t>Sonst</t>
  </si>
  <si>
    <t>Turnierausschuss</t>
  </si>
  <si>
    <t xml:space="preserve">Tagessatz </t>
  </si>
  <si>
    <t>Referee</t>
  </si>
  <si>
    <t>Schiri</t>
  </si>
  <si>
    <t>Mittelfranken ab 01.01.2019
Oberbayern ab 01.01.2020
Niederbayern / Oberpfalz ab 01.10.2021</t>
  </si>
  <si>
    <t>TN Hospitation</t>
  </si>
  <si>
    <t xml:space="preserve">TN-Zahl: </t>
  </si>
  <si>
    <t>wie Maßnahmenleitung</t>
  </si>
  <si>
    <t>z.B. F. Schlosser, C. Schmidt</t>
  </si>
  <si>
    <t>Tageshöchstsatz
Maßnahmenleitung</t>
  </si>
  <si>
    <t>Tageshöchstsatz
Assistenz</t>
  </si>
  <si>
    <t>TN-Zahl:</t>
  </si>
  <si>
    <t>Teilnehmende / Anwesenheit</t>
  </si>
  <si>
    <t>Aufstellung der Ausgaben und Einnahmen</t>
  </si>
  <si>
    <r>
      <rPr>
        <b/>
        <u/>
        <sz val="12"/>
        <rFont val="Arial"/>
        <family val="2"/>
      </rPr>
      <t>Teilnehmende</t>
    </r>
    <r>
      <rPr>
        <b/>
        <sz val="12"/>
        <rFont val="Arial"/>
        <family val="2"/>
      </rPr>
      <t xml:space="preserve"> / Anwesenheit / Einnahmen BBV</t>
    </r>
  </si>
  <si>
    <r>
      <rPr>
        <b/>
        <u/>
        <sz val="12"/>
        <rFont val="Arial"/>
        <family val="2"/>
      </rPr>
      <t>Betreuende</t>
    </r>
    <r>
      <rPr>
        <b/>
        <sz val="12"/>
        <rFont val="Arial"/>
        <family val="2"/>
      </rPr>
      <t xml:space="preserve"> / Anwesenheit</t>
    </r>
  </si>
  <si>
    <t>Vor- und Nachname</t>
  </si>
  <si>
    <t>A-Traner*in</t>
  </si>
  <si>
    <t>Referierende allg.</t>
  </si>
  <si>
    <t>ander*e Trainer*in</t>
  </si>
  <si>
    <t>MFR</t>
  </si>
  <si>
    <t>OBB</t>
  </si>
  <si>
    <t>UFR</t>
  </si>
  <si>
    <t>OFR</t>
  </si>
  <si>
    <t>NBO</t>
  </si>
  <si>
    <t>SWN</t>
  </si>
  <si>
    <t>ja, 1 Tag</t>
  </si>
  <si>
    <t>ja, 2 Tage</t>
  </si>
  <si>
    <t>sonst</t>
  </si>
  <si>
    <t>BBV Form</t>
  </si>
  <si>
    <t>Lizenz</t>
  </si>
  <si>
    <t>Honorar Bezirk</t>
  </si>
  <si>
    <t>Summe Honorar</t>
  </si>
  <si>
    <t>Summe RK</t>
  </si>
  <si>
    <t>Digitale Signatur Maßnahmenleitung</t>
  </si>
  <si>
    <r>
      <t xml:space="preserve">Honorarsätze im BBV
</t>
    </r>
    <r>
      <rPr>
        <b/>
        <sz val="10"/>
        <color rgb="FF002060"/>
        <rFont val="Segoe UI"/>
        <family val="2"/>
      </rPr>
      <t>gültig ab 01.09.2022</t>
    </r>
  </si>
  <si>
    <t>davon entfallen 10 € auf den jeweiligen Herkunfts-Bezirk</t>
  </si>
  <si>
    <t>ggf. Splittung</t>
  </si>
  <si>
    <t>Postfach 50 01 20</t>
  </si>
  <si>
    <t>Bayerischer Badminton Verband, Postfach 50 01 20, 80971 München</t>
  </si>
  <si>
    <t>Anzahl Tage &amp; Stunden</t>
  </si>
  <si>
    <t>eintägig über 6 Stunden</t>
  </si>
  <si>
    <t>eintägig über 8 Stunden</t>
  </si>
  <si>
    <t>eintägig über 12 Stunden</t>
  </si>
  <si>
    <t>zweitägig je über 6 Stunden</t>
  </si>
  <si>
    <t>zweitägig je über 8 Stunden</t>
  </si>
  <si>
    <t>zweitägig je über 12 Stunden</t>
  </si>
  <si>
    <t>zweitägig 1x über 8 Stunden &amp; 1x über 6 Stunden</t>
  </si>
  <si>
    <t>zweitägig 1x über 12 Stunden &amp; 1x über 6 Stunden</t>
  </si>
  <si>
    <t>zweitägig 1x über 12 Stunden &amp; 1x über 8 Stunden</t>
  </si>
  <si>
    <t>2 Tage 1x&gt;8h &amp; 1x&gt;6h</t>
  </si>
  <si>
    <t>2 Tage je&gt;6h</t>
  </si>
  <si>
    <t>1 Tag&gt;6h</t>
  </si>
  <si>
    <t>1 Tag&gt;8h</t>
  </si>
  <si>
    <t>1 Tag&gt;12h</t>
  </si>
  <si>
    <t>2 Tage je&gt;8h</t>
  </si>
  <si>
    <t>2 Tage je&gt;12h</t>
  </si>
  <si>
    <t>2 Tage 1x&gt;12h &amp; 1x&gt;6h</t>
  </si>
  <si>
    <t>2 Tage 1x&gt;12h &amp; 1x&gt;8h</t>
  </si>
  <si>
    <t>Referee Assistenz 1 Tag</t>
  </si>
  <si>
    <t>Referee Assistenz 2 Tage</t>
  </si>
  <si>
    <t>SR 1 Tag</t>
  </si>
  <si>
    <t>SR 2 Tage</t>
  </si>
  <si>
    <t>Referee 1 Tag</t>
  </si>
  <si>
    <t>Referee 2 Tage</t>
  </si>
  <si>
    <t>Anzahl MF</t>
  </si>
  <si>
    <t>nein/1T/2T</t>
  </si>
  <si>
    <t>Aktualisierung: 08/2023</t>
  </si>
  <si>
    <t xml:space="preserve">o      Bei Lehrgängen separaten Reiter "TF Lehrgang Teilnehmer" ausfüllen, </t>
  </si>
  <si>
    <t>inklusive Reiter "TF Lehrgang Betreuer", alternativ kann auch die TN-Liste aus nuVerband beigefügt werden.</t>
  </si>
  <si>
    <t>❹ Honorarabrechnung für Referenten</t>
  </si>
  <si>
    <t xml:space="preserve">o      Bei Abrechnungen auf  Selbständigkeitsbasis sind persönliche Rechnungen zu verwenden. Die Erklärung zur Selbständigkeit muss vorliegen. </t>
  </si>
  <si>
    <t>❺ Reisekostenabrechnung für Referenten und ggf. Teilnehmer</t>
  </si>
  <si>
    <t>❻ Rechnungen für Verpflegung und Übernachtung</t>
  </si>
  <si>
    <t>Frank Schlosser, Präsident</t>
  </si>
  <si>
    <r>
      <rPr>
        <b/>
        <sz val="10"/>
        <color rgb="FF000000"/>
        <rFont val="Calibri"/>
        <family val="2"/>
      </rPr>
      <t>❾</t>
    </r>
    <r>
      <rPr>
        <b/>
        <sz val="10"/>
        <color rgb="FF000000"/>
        <rFont val="Segoe UI"/>
        <family val="2"/>
      </rPr>
      <t xml:space="preserve"> Zuschuss Hardwarekäufe</t>
    </r>
  </si>
  <si>
    <t>o      Sollten Hardware-Käufe getätigt worden sein, können sie im Rahmen der eingeplanten Haushaltsmittel durch das entsprechende Ressort bezuschusst werden.</t>
  </si>
  <si>
    <t>Dazu ist das hinterlegte Formular auszufüllen.</t>
  </si>
  <si>
    <t>o      Bei Nachwuchlehrgängen mit Angabe des Geburtsjahres und der Kaderzugehörigkeit.</t>
  </si>
  <si>
    <t>o      Eine Unterschrift der Teilnehmer oder der Lehrgangsleitung ist nicht notwendig.</t>
  </si>
  <si>
    <t>o      Beantragung 3 Monate vor Maßnahme über zuständige BBV Geschäftsstelle.</t>
  </si>
  <si>
    <t>o      Zeitpunkt der Honorartätigkeit, Stundenzahl und Stundensatz.</t>
  </si>
  <si>
    <t>o      Im Rahmen des Übungsleiterfreibetrags  - ausreichender Freibetrag! - ist das Abrechnungsformular "Honorar" zu verwenden.</t>
  </si>
  <si>
    <t>o      Übernachtungskosten werden nur mit Beleg / Quittung erstattet.</t>
  </si>
  <si>
    <t>o      Keine Erstattung von alkoholischen Getränken.</t>
  </si>
  <si>
    <t>o      Die Rechnung für die Verpflegung in der Sportschule Oberhaching soll direkt an die BBV GS geschickt werden und wird von dort überwiesen.</t>
  </si>
  <si>
    <t>Wohnort</t>
  </si>
  <si>
    <t>mitgefahren bei</t>
  </si>
  <si>
    <t>**) Das Honorar der technischen Offiziellen (Schiedsrichter, Referee &amp; Assistenz) wird hier automatisch berechnet. Auszahlung erfolgt nur und automatisch bei vorhandenem Freibetrag der Ehrenamtspauschale.</t>
  </si>
  <si>
    <t>****</t>
  </si>
  <si>
    <r>
      <t>Anzahl km / MF</t>
    </r>
    <r>
      <rPr>
        <b/>
        <sz val="8"/>
        <rFont val="Segoe UI"/>
        <family val="2"/>
      </rPr>
      <t xml:space="preserve"> ***</t>
    </r>
  </si>
  <si>
    <t>****) Hier ist zwingend der Bezirk für SR-Einsätze oder "BBV" für Referee &amp; Assistenz auszuwählen.</t>
  </si>
  <si>
    <t>***) Spalte I sind die Anzahl der km für die mitgenommenen Personen - hier sind die gesamten (Hin- und Rückfahrt) km der mitgenommenen Personen einzutragen, je nach dem, wo ein- bzw. aufgesammelt wurde, kann ja durchaus an unterschiedlichen Orten passieren.</t>
  </si>
  <si>
    <t>❷ Vom Maßnahmenverantwortlichen sind Teilnehmerliste für Kadermaßnahmen einzureichen</t>
  </si>
  <si>
    <t>Sachlich &amp; rechnerisch richtig sowie zur Zahlung angewiesen</t>
  </si>
  <si>
    <t>Geschäftsführungsmitglied</t>
  </si>
  <si>
    <t>sowie zur Zahlung angewiesen:</t>
  </si>
  <si>
    <t>Auf diesem Formular ist keine Unterschrift notwendig.</t>
  </si>
  <si>
    <t>Sachlich und rechnerisch richtig
sowie zur Zahlung angewiesen:</t>
  </si>
  <si>
    <t>Sachlich und rechnerisch richtig, sowie zur Zahlung angewiesen</t>
  </si>
  <si>
    <t>28.-29.09.2024</t>
  </si>
  <si>
    <t>Neumarkt</t>
  </si>
  <si>
    <t>Martin Klein</t>
  </si>
  <si>
    <t>Robert Nebel</t>
  </si>
  <si>
    <t>Verena Beil</t>
  </si>
  <si>
    <t>Referee-Einsatz Bayerische MS U11-U19</t>
  </si>
  <si>
    <t>Assistenz</t>
  </si>
  <si>
    <t>Bayerische EM U11-U19</t>
  </si>
  <si>
    <t>zur Berücksichtigung der steuerfreien Aufwandsentschädigung für</t>
  </si>
  <si>
    <t>ehrenamtliche Tätigkeit nach § 3 Nr. 26a EStG</t>
  </si>
  <si>
    <t>Vorname:</t>
  </si>
  <si>
    <t>Name:</t>
  </si>
  <si>
    <t>Straße:</t>
  </si>
  <si>
    <t>Postleitzahl, Ort:</t>
  </si>
  <si>
    <t>E-Mail:</t>
  </si>
  <si>
    <t>Steuernummer bzw. Steuer-ID:</t>
  </si>
  <si>
    <t>Ich nehme für meine ehrenamtliche Tätigkeit für den</t>
  </si>
  <si>
    <t>Bayerischen Badminton-Verband e.V. (BBV)</t>
  </si>
  <si>
    <t>inklusive seiner Untergliederungen (Ressorts und Bezirke)</t>
  </si>
  <si>
    <t xml:space="preserve">im Jahr   </t>
  </si>
  <si>
    <t>eine steuer- und sozialversicherungsfreie Aufwandsentschädigung nach § 3 Nr. 26a EStG bis zu einer Höhe von</t>
  </si>
  <si>
    <r>
      <t>(maximal 840€) in Anspruch.</t>
    </r>
    <r>
      <rPr>
        <sz val="10"/>
        <color rgb="FF000000"/>
        <rFont val="Segoe UI"/>
        <family val="2"/>
      </rPr>
      <t xml:space="preserve"> (Kann kein Betrag beansprucht werden, so ist hier 0€ einzutragen.)</t>
    </r>
  </si>
  <si>
    <t>Ich versichere, dass die gemachten Angaben vollständig sind und den Tatsachen entsprechen.</t>
  </si>
  <si>
    <t>Ich verpflichte mich, Änderungen in den angegebenen Verhältnissen unverzüglich mitzuteilen.</t>
  </si>
  <si>
    <t>Unterschrift</t>
  </si>
  <si>
    <t>Digitale Signatur wird abgefragt, bitte nicht unterschreiben!</t>
  </si>
  <si>
    <r>
      <t xml:space="preserve">Ich bestätige zudem, dass ich im Arbeitsfeld meiner ehrenamtlichen Tätigkeit für den </t>
    </r>
    <r>
      <rPr>
        <b/>
        <sz val="10"/>
        <color rgb="FF000000"/>
        <rFont val="Segoe UI"/>
        <family val="2"/>
      </rPr>
      <t xml:space="preserve">BBV </t>
    </r>
    <r>
      <rPr>
        <sz val="10"/>
        <color rgb="FF000000"/>
        <rFont val="Segoe UI"/>
        <family val="2"/>
      </rPr>
      <t>weder ein Gewerbe angemeldet habe, noch einen gültigen Arbeitsvertrag besitze oder als nebenberuflicher Übungsleiter gemäß §3 Nr. 26 EStG tätig bin.</t>
    </r>
  </si>
  <si>
    <t>01/2025</t>
  </si>
  <si>
    <t>RK (inkl. Bahn &amp; Hotel)</t>
  </si>
  <si>
    <t>Honorar BBV</t>
  </si>
  <si>
    <t>Summen</t>
  </si>
  <si>
    <t>Honorar OBB</t>
  </si>
  <si>
    <t>Honorar MFR</t>
  </si>
  <si>
    <t>Honorar NBO</t>
  </si>
  <si>
    <t>Honorar SWN</t>
  </si>
  <si>
    <t>Honorar UFR</t>
  </si>
  <si>
    <t>Honorar OFR</t>
  </si>
  <si>
    <t>dreitägig 1x über 12 Stunden &amp; 1x über 8 Stunden &amp; 1x über 6 Stunden</t>
  </si>
  <si>
    <t>3 Tage 1x&gt;12h &amp; 1x&gt;8h &amp; 1x&gt;6h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</si>
</sst>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7" formatCode="#,##0.00\ &quot;€&quot;;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\ \ \ _)"/>
    <numFmt numFmtId="165" formatCode="#,##0.00\ &quot;€&quot;;[Red]#,##0.00\ &quot;€&quot;"/>
    <numFmt numFmtId="166" formatCode="#,##0.00\ &quot;€&quot;"/>
    <numFmt numFmtId="167" formatCode="d/m/yyyy;@"/>
    <numFmt numFmtId="168" formatCode="h:mm;@"/>
    <numFmt numFmtId="169" formatCode="0_)"/>
    <numFmt numFmtId="170" formatCode="#,##0.00\ _€"/>
    <numFmt numFmtId="171" formatCode="_-* #,##0.00\ &quot;DM&quot;_-;\-* #,##0.00\ &quot;DM&quot;_-;_-* &quot;-&quot;??\ &quot;DM&quot;_-;_-@_-"/>
    <numFmt numFmtId="172" formatCode="_-* #,##0.00\ [$€-407]_-;\-* #,##0.00\ [$€-407]_-;_-* &quot;-&quot;??\ [$€-407]_-;_-@_-"/>
    <numFmt numFmtId="173" formatCode="dd/mm/yy;@"/>
    <numFmt numFmtId="174" formatCode="#,##0\ &quot;€&quot;"/>
    <numFmt numFmtId="175" formatCode="_-* #,##0.0000\ &quot;€&quot;_-;\-* #,##0.0000\ &quot;€&quot;_-;_-* &quot;-&quot;??\ &quot;€&quot;_-;_-@_-"/>
  </numFmts>
  <fonts count="11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4"/>
      <color rgb="FF000000"/>
      <name val="Arial Unicode MS"/>
      <family val="2"/>
    </font>
    <font>
      <b/>
      <sz val="12"/>
      <name val="Arial"/>
      <family val="2"/>
    </font>
    <font>
      <sz val="1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24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u/>
      <sz val="12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i/>
      <u/>
      <sz val="10"/>
      <name val="Arial"/>
      <family val="2"/>
    </font>
    <font>
      <sz val="7"/>
      <name val="Small Fonts"/>
      <family val="2"/>
    </font>
    <font>
      <b/>
      <i/>
      <u/>
      <sz val="7.5"/>
      <name val="Small Fonts"/>
      <family val="2"/>
    </font>
    <font>
      <i/>
      <u/>
      <sz val="7.5"/>
      <name val="Small Fonts"/>
      <family val="2"/>
    </font>
    <font>
      <sz val="9"/>
      <name val="Terminal"/>
      <family val="3"/>
      <charset val="255"/>
    </font>
    <font>
      <b/>
      <u/>
      <sz val="10"/>
      <name val="Arial"/>
      <family val="2"/>
    </font>
    <font>
      <b/>
      <sz val="20"/>
      <name val="Arial"/>
      <family val="2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26"/>
      <color rgb="FF002060"/>
      <name val="Segoe UI"/>
      <family val="2"/>
    </font>
    <font>
      <sz val="10"/>
      <name val="Segoe UI"/>
      <family val="2"/>
    </font>
    <font>
      <i/>
      <sz val="8"/>
      <name val="Segoe UI"/>
      <family val="2"/>
    </font>
    <font>
      <b/>
      <sz val="14"/>
      <name val="Segoe UI"/>
      <family val="2"/>
    </font>
    <font>
      <b/>
      <sz val="10"/>
      <name val="Segoe UI"/>
      <family val="2"/>
    </font>
    <font>
      <b/>
      <sz val="24"/>
      <color rgb="FF002060"/>
      <name val="Segoe UI"/>
      <family val="2"/>
    </font>
    <font>
      <sz val="24"/>
      <color rgb="FF002060"/>
      <name val="Segoe UI"/>
      <family val="2"/>
    </font>
    <font>
      <b/>
      <sz val="24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b/>
      <sz val="12"/>
      <name val="Segoe UI"/>
      <family val="2"/>
    </font>
    <font>
      <b/>
      <sz val="14"/>
      <color rgb="FF000000"/>
      <name val="Segoe UI"/>
      <family val="2"/>
    </font>
    <font>
      <b/>
      <i/>
      <sz val="8"/>
      <color theme="1"/>
      <name val="Segoe UI"/>
      <family val="2"/>
    </font>
    <font>
      <b/>
      <sz val="8"/>
      <color rgb="FFFF0000"/>
      <name val="Segoe UI"/>
      <family val="2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sz val="11"/>
      <name val="Segoe UI"/>
      <family val="2"/>
    </font>
    <font>
      <sz val="11"/>
      <color rgb="FF000000"/>
      <name val="Segoe UI"/>
      <family val="2"/>
    </font>
    <font>
      <i/>
      <sz val="11"/>
      <color rgb="FF000000"/>
      <name val="Segoe UI"/>
      <family val="2"/>
    </font>
    <font>
      <u/>
      <sz val="10"/>
      <color theme="10"/>
      <name val="Segoe UI"/>
      <family val="2"/>
    </font>
    <font>
      <sz val="12"/>
      <color rgb="FF000000"/>
      <name val="Segoe UI"/>
      <family val="2"/>
    </font>
    <font>
      <b/>
      <sz val="12"/>
      <color rgb="FF000000"/>
      <name val="Segoe UI"/>
      <family val="2"/>
    </font>
    <font>
      <sz val="14"/>
      <name val="Segoe UI"/>
      <family val="2"/>
    </font>
    <font>
      <sz val="12"/>
      <name val="Segoe UI"/>
      <family val="2"/>
    </font>
    <font>
      <i/>
      <sz val="8"/>
      <color theme="1"/>
      <name val="Segoe UI"/>
      <family val="2"/>
    </font>
    <font>
      <b/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rgb="FF000000"/>
      <name val="Segoe UI"/>
      <family val="2"/>
    </font>
    <font>
      <b/>
      <sz val="10"/>
      <color rgb="FF000000"/>
      <name val="Segoe UI"/>
      <family val="2"/>
    </font>
    <font>
      <i/>
      <sz val="10"/>
      <color rgb="FF000000"/>
      <name val="Segoe UI"/>
      <family val="2"/>
    </font>
    <font>
      <sz val="8"/>
      <name val="Segoe UI"/>
      <family val="2"/>
    </font>
    <font>
      <sz val="8"/>
      <color theme="0"/>
      <name val="Segoe UI"/>
      <family val="2"/>
    </font>
    <font>
      <b/>
      <sz val="8"/>
      <name val="Segoe UI"/>
      <family val="2"/>
    </font>
    <font>
      <b/>
      <sz val="22"/>
      <name val="Segoe UI"/>
      <family val="2"/>
    </font>
    <font>
      <b/>
      <sz val="20"/>
      <name val="Segoe UI"/>
      <family val="2"/>
    </font>
    <font>
      <b/>
      <sz val="11"/>
      <name val="Segoe UI"/>
      <family val="2"/>
    </font>
    <font>
      <sz val="10"/>
      <color theme="0"/>
      <name val="Segoe UI"/>
      <family val="2"/>
    </font>
    <font>
      <i/>
      <sz val="9"/>
      <name val="Segoe UI"/>
      <family val="2"/>
    </font>
    <font>
      <i/>
      <sz val="10"/>
      <name val="Segoe UI"/>
      <family val="2"/>
    </font>
    <font>
      <sz val="9"/>
      <color theme="0" tint="-0.499984740745262"/>
      <name val="Segoe UI"/>
      <family val="2"/>
    </font>
    <font>
      <b/>
      <sz val="14"/>
      <color rgb="FFFF0000"/>
      <name val="Segoe UI"/>
      <family val="2"/>
    </font>
    <font>
      <sz val="14"/>
      <color rgb="FFFF0000"/>
      <name val="Segoe UI"/>
      <family val="2"/>
    </font>
    <font>
      <b/>
      <sz val="9"/>
      <color theme="0" tint="-0.499984740745262"/>
      <name val="Segoe UI"/>
      <family val="2"/>
    </font>
    <font>
      <i/>
      <sz val="5"/>
      <name val="Segoe UI"/>
      <family val="2"/>
    </font>
    <font>
      <b/>
      <sz val="9"/>
      <color rgb="FFFF0000"/>
      <name val="Segoe UI"/>
      <family val="2"/>
    </font>
    <font>
      <sz val="10"/>
      <color rgb="FFFF0000"/>
      <name val="Segoe UI"/>
      <family val="2"/>
    </font>
    <font>
      <sz val="6"/>
      <name val="Segoe UI"/>
      <family val="2"/>
    </font>
    <font>
      <b/>
      <sz val="6"/>
      <name val="Segoe UI"/>
      <family val="2"/>
    </font>
    <font>
      <sz val="9"/>
      <color rgb="FFFF0000"/>
      <name val="Segoe UI"/>
      <family val="2"/>
    </font>
    <font>
      <sz val="9"/>
      <color theme="0" tint="-0.34998626667073579"/>
      <name val="Segoe UI"/>
      <family val="2"/>
    </font>
    <font>
      <b/>
      <sz val="10"/>
      <color theme="0" tint="-0.499984740745262"/>
      <name val="Segoe UI"/>
      <family val="2"/>
    </font>
    <font>
      <i/>
      <sz val="10"/>
      <color theme="0" tint="-0.499984740745262"/>
      <name val="Segoe UI"/>
      <family val="2"/>
    </font>
    <font>
      <b/>
      <sz val="7"/>
      <name val="Segoe UI"/>
      <family val="2"/>
    </font>
    <font>
      <b/>
      <sz val="6"/>
      <color rgb="FFFF0000"/>
      <name val="Segoe UI"/>
      <family val="2"/>
    </font>
    <font>
      <u/>
      <sz val="10"/>
      <name val="Segoe UI"/>
      <family val="2"/>
    </font>
    <font>
      <b/>
      <u/>
      <sz val="11"/>
      <name val="Segoe UI"/>
      <family val="2"/>
    </font>
    <font>
      <sz val="10"/>
      <name val="Arial"/>
      <family val="2"/>
    </font>
    <font>
      <sz val="20"/>
      <name val="Segoe UI"/>
      <family val="2"/>
    </font>
    <font>
      <b/>
      <sz val="10"/>
      <color rgb="FF002060"/>
      <name val="Segoe UI"/>
      <family val="2"/>
    </font>
    <font>
      <sz val="5"/>
      <color theme="0"/>
      <name val="Segoe UI"/>
      <family val="2"/>
    </font>
    <font>
      <sz val="9"/>
      <color theme="0"/>
      <name val="Segoe UI"/>
      <family val="2"/>
    </font>
    <font>
      <b/>
      <sz val="9"/>
      <color theme="0"/>
      <name val="Segoe UI"/>
      <family val="2"/>
    </font>
    <font>
      <sz val="8"/>
      <color theme="0" tint="-0.499984740745262"/>
      <name val="Segoe UI"/>
      <family val="2"/>
    </font>
    <font>
      <sz val="10"/>
      <color theme="0" tint="-0.499984740745262"/>
      <name val="Segoe UI"/>
      <family val="2"/>
    </font>
    <font>
      <b/>
      <sz val="24"/>
      <color theme="0"/>
      <name val="Segoe UI"/>
      <family val="2"/>
    </font>
    <font>
      <b/>
      <sz val="10"/>
      <color theme="0"/>
      <name val="Segoe UI"/>
      <family val="2"/>
    </font>
    <font>
      <b/>
      <sz val="8"/>
      <color theme="0"/>
      <name val="Segoe UI"/>
      <family val="2"/>
    </font>
    <font>
      <b/>
      <sz val="10"/>
      <color rgb="FF000000"/>
      <name val="Calibri"/>
      <family val="2"/>
    </font>
    <font>
      <sz val="10"/>
      <color rgb="FF000000"/>
      <name val="Times New Roman"/>
      <family val="1"/>
    </font>
    <font>
      <sz val="9"/>
      <color rgb="FF000000"/>
      <name val="Segoe UI"/>
      <family val="2"/>
    </font>
    <font>
      <sz val="6"/>
      <color rgb="FF000000"/>
      <name val="Segoe UI"/>
      <family val="2"/>
    </font>
    <font>
      <b/>
      <sz val="11"/>
      <color theme="0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28FBA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FE3"/>
        <bgColor indexed="64"/>
      </patternFill>
    </fill>
    <fill>
      <patternFill patternType="solid">
        <fgColor rgb="FFBDBDBF"/>
        <bgColor indexed="64"/>
      </patternFill>
    </fill>
  </fills>
  <borders count="16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/>
      <diagonal/>
    </border>
    <border>
      <left/>
      <right/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/>
      <right style="thin">
        <color rgb="FF000000"/>
      </right>
      <top style="thin">
        <color theme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theme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theme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theme="1"/>
      </right>
      <top style="medium">
        <color auto="1"/>
      </top>
      <bottom style="thin">
        <color theme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theme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/>
      <top style="thin">
        <color theme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theme="1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1"/>
      </bottom>
      <diagonal/>
    </border>
    <border>
      <left style="thin">
        <color theme="1"/>
      </left>
      <right style="thin">
        <color indexed="64"/>
      </right>
      <top style="medium">
        <color auto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medium">
        <color auto="1"/>
      </top>
      <bottom style="thin">
        <color auto="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theme="1"/>
      </bottom>
      <diagonal/>
    </border>
    <border>
      <left/>
      <right style="thin">
        <color auto="1"/>
      </right>
      <top style="medium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/>
      <top style="medium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hair">
        <color theme="1"/>
      </bottom>
      <diagonal/>
    </border>
    <border>
      <left style="thin">
        <color auto="1"/>
      </left>
      <right style="thin">
        <color theme="1"/>
      </right>
      <top/>
      <bottom style="hair">
        <color auto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theme="1"/>
      </left>
      <right style="thin">
        <color theme="1"/>
      </right>
      <top/>
      <bottom style="hair">
        <color theme="1"/>
      </bottom>
      <diagonal/>
    </border>
  </borders>
  <cellStyleXfs count="42">
    <xf numFmtId="0" fontId="0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71" fontId="4" fillId="0" borderId="0" applyFont="0" applyFill="0" applyBorder="0" applyAlignment="0" applyProtection="0"/>
    <xf numFmtId="0" fontId="2" fillId="0" borderId="0"/>
    <xf numFmtId="0" fontId="12" fillId="0" borderId="0" applyNumberFormat="0" applyFill="0" applyBorder="0" applyAlignment="0" applyProtection="0"/>
    <xf numFmtId="43" fontId="95" fillId="0" borderId="0" applyFont="0" applyFill="0" applyBorder="0" applyAlignment="0" applyProtection="0"/>
    <xf numFmtId="0" fontId="4" fillId="0" borderId="0"/>
  </cellStyleXfs>
  <cellXfs count="937">
    <xf numFmtId="0" fontId="0" fillId="0" borderId="0" xfId="0"/>
    <xf numFmtId="0" fontId="4" fillId="0" borderId="0" xfId="0" applyFont="1"/>
    <xf numFmtId="1" fontId="0" fillId="0" borderId="0" xfId="0" applyNumberFormat="1"/>
    <xf numFmtId="2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20" fontId="4" fillId="3" borderId="7" xfId="0" quotePrefix="1" applyNumberFormat="1" applyFont="1" applyFill="1" applyBorder="1" applyAlignment="1">
      <alignment vertical="center"/>
    </xf>
    <xf numFmtId="1" fontId="0" fillId="0" borderId="5" xfId="0" applyNumberFormat="1" applyBorder="1"/>
    <xf numFmtId="166" fontId="0" fillId="0" borderId="0" xfId="0" applyNumberFormat="1"/>
    <xf numFmtId="0" fontId="4" fillId="0" borderId="0" xfId="0" applyFont="1" applyAlignment="1">
      <alignment horizontal="center" vertical="center"/>
    </xf>
    <xf numFmtId="0" fontId="8" fillId="0" borderId="0" xfId="0" applyFont="1"/>
    <xf numFmtId="0" fontId="8" fillId="0" borderId="8" xfId="0" applyFont="1" applyBorder="1"/>
    <xf numFmtId="0" fontId="8" fillId="0" borderId="9" xfId="0" applyFont="1" applyBorder="1"/>
    <xf numFmtId="0" fontId="8" fillId="6" borderId="10" xfId="0" applyFont="1" applyFill="1" applyBorder="1"/>
    <xf numFmtId="2" fontId="8" fillId="6" borderId="10" xfId="0" applyNumberFormat="1" applyFont="1" applyFill="1" applyBorder="1"/>
    <xf numFmtId="9" fontId="8" fillId="6" borderId="10" xfId="0" applyNumberFormat="1" applyFont="1" applyFill="1" applyBorder="1"/>
    <xf numFmtId="0" fontId="9" fillId="6" borderId="10" xfId="0" applyFont="1" applyFill="1" applyBorder="1"/>
    <xf numFmtId="0" fontId="8" fillId="0" borderId="10" xfId="0" applyFont="1" applyBorder="1"/>
    <xf numFmtId="2" fontId="8" fillId="0" borderId="10" xfId="0" applyNumberFormat="1" applyFont="1" applyBorder="1"/>
    <xf numFmtId="9" fontId="8" fillId="0" borderId="10" xfId="0" applyNumberFormat="1" applyFont="1" applyBorder="1"/>
    <xf numFmtId="0" fontId="9" fillId="0" borderId="10" xfId="0" applyFont="1" applyBorder="1"/>
    <xf numFmtId="0" fontId="14" fillId="0" borderId="0" xfId="0" applyFont="1"/>
    <xf numFmtId="0" fontId="5" fillId="0" borderId="0" xfId="0" applyFont="1"/>
    <xf numFmtId="0" fontId="16" fillId="0" borderId="0" xfId="0" applyFont="1"/>
    <xf numFmtId="0" fontId="11" fillId="0" borderId="0" xfId="0" applyFont="1"/>
    <xf numFmtId="0" fontId="18" fillId="0" borderId="0" xfId="0" applyFont="1"/>
    <xf numFmtId="0" fontId="1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7" fillId="0" borderId="0" xfId="0" applyFont="1"/>
    <xf numFmtId="14" fontId="4" fillId="0" borderId="2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>
      <alignment horizontal="right"/>
    </xf>
    <xf numFmtId="14" fontId="4" fillId="0" borderId="0" xfId="0" applyNumberFormat="1" applyFont="1" applyAlignment="1">
      <alignment horizontal="left"/>
    </xf>
    <xf numFmtId="14" fontId="4" fillId="0" borderId="0" xfId="0" applyNumberFormat="1" applyFont="1"/>
    <xf numFmtId="49" fontId="3" fillId="0" borderId="0" xfId="0" applyNumberFormat="1" applyFont="1" applyAlignment="1">
      <alignment horizontal="left"/>
    </xf>
    <xf numFmtId="49" fontId="4" fillId="0" borderId="0" xfId="0" applyNumberFormat="1" applyFont="1"/>
    <xf numFmtId="49" fontId="0" fillId="0" borderId="0" xfId="0" applyNumberFormat="1"/>
    <xf numFmtId="49" fontId="6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21" fillId="0" borderId="65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/>
    <xf numFmtId="0" fontId="7" fillId="0" borderId="95" xfId="0" applyFont="1" applyBorder="1" applyAlignment="1">
      <alignment horizontal="center"/>
    </xf>
    <xf numFmtId="0" fontId="7" fillId="0" borderId="93" xfId="0" applyFont="1" applyBorder="1" applyAlignment="1">
      <alignment horizontal="left"/>
    </xf>
    <xf numFmtId="0" fontId="4" fillId="0" borderId="102" xfId="0" applyFont="1" applyBorder="1" applyAlignment="1" applyProtection="1">
      <alignment horizontal="center" vertical="center"/>
      <protection locked="0"/>
    </xf>
    <xf numFmtId="0" fontId="7" fillId="0" borderId="103" xfId="0" applyFont="1" applyBorder="1" applyAlignment="1">
      <alignment horizontal="left"/>
    </xf>
    <xf numFmtId="20" fontId="0" fillId="0" borderId="65" xfId="0" applyNumberFormat="1" applyBorder="1" applyAlignment="1" applyProtection="1">
      <alignment horizontal="center" vertical="center"/>
      <protection locked="0"/>
    </xf>
    <xf numFmtId="0" fontId="7" fillId="0" borderId="96" xfId="0" applyFont="1" applyBorder="1" applyAlignment="1">
      <alignment horizontal="left"/>
    </xf>
    <xf numFmtId="0" fontId="0" fillId="0" borderId="65" xfId="0" applyBorder="1" applyAlignment="1" applyProtection="1">
      <alignment horizontal="center" vertical="center"/>
      <protection locked="0"/>
    </xf>
    <xf numFmtId="0" fontId="7" fillId="0" borderId="26" xfId="0" applyFont="1" applyBorder="1" applyAlignment="1">
      <alignment horizontal="left"/>
    </xf>
    <xf numFmtId="0" fontId="0" fillId="0" borderId="107" xfId="0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/>
    </xf>
    <xf numFmtId="0" fontId="22" fillId="0" borderId="0" xfId="0" applyFont="1"/>
    <xf numFmtId="0" fontId="0" fillId="0" borderId="0" xfId="0" applyAlignment="1">
      <alignment horizontal="center" vertical="center"/>
    </xf>
    <xf numFmtId="172" fontId="0" fillId="0" borderId="100" xfId="37" applyNumberFormat="1" applyFont="1" applyBorder="1" applyAlignment="1" applyProtection="1">
      <alignment horizontal="center" vertic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1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8" xfId="0" applyFont="1" applyBorder="1" applyAlignment="1">
      <alignment vertical="center"/>
    </xf>
    <xf numFmtId="0" fontId="0" fillId="0" borderId="65" xfId="0" applyBorder="1" applyProtection="1">
      <protection locked="0"/>
    </xf>
    <xf numFmtId="0" fontId="7" fillId="0" borderId="110" xfId="0" applyFont="1" applyBorder="1" applyAlignment="1">
      <alignment horizontal="left"/>
    </xf>
    <xf numFmtId="0" fontId="0" fillId="0" borderId="107" xfId="0" applyBorder="1" applyProtection="1">
      <protection locked="0"/>
    </xf>
    <xf numFmtId="0" fontId="4" fillId="0" borderId="100" xfId="0" applyFont="1" applyBorder="1" applyAlignment="1">
      <alignment horizontal="center" vertical="center"/>
    </xf>
    <xf numFmtId="172" fontId="0" fillId="0" borderId="100" xfId="0" applyNumberFormat="1" applyBorder="1" applyAlignment="1">
      <alignment horizontal="center" vertical="center"/>
    </xf>
    <xf numFmtId="0" fontId="3" fillId="0" borderId="0" xfId="0" applyFont="1" applyAlignment="1">
      <alignment horizontal="left"/>
    </xf>
    <xf numFmtId="172" fontId="0" fillId="0" borderId="0" xfId="0" applyNumberFormat="1" applyAlignment="1">
      <alignment horizontal="center" vertical="center"/>
    </xf>
    <xf numFmtId="0" fontId="3" fillId="0" borderId="0" xfId="0" applyFont="1"/>
    <xf numFmtId="0" fontId="26" fillId="0" borderId="0" xfId="0" applyFont="1"/>
    <xf numFmtId="0" fontId="3" fillId="0" borderId="0" xfId="0" applyFont="1" applyAlignment="1">
      <alignment horizontal="right"/>
    </xf>
    <xf numFmtId="49" fontId="4" fillId="0" borderId="0" xfId="0" applyNumberFormat="1" applyFont="1" applyAlignment="1">
      <alignment horizontal="center" vertical="center"/>
    </xf>
    <xf numFmtId="0" fontId="0" fillId="0" borderId="102" xfId="0" applyBorder="1" applyProtection="1">
      <protection locked="0"/>
    </xf>
    <xf numFmtId="0" fontId="27" fillId="0" borderId="0" xfId="0" applyFont="1"/>
    <xf numFmtId="0" fontId="4" fillId="0" borderId="53" xfId="0" applyFont="1" applyBorder="1" applyAlignment="1" applyProtection="1">
      <alignment horizontal="left" vertical="center"/>
      <protection locked="0"/>
    </xf>
    <xf numFmtId="0" fontId="4" fillId="0" borderId="61" xfId="0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4" fillId="0" borderId="55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0" fontId="2" fillId="0" borderId="0" xfId="38" applyAlignment="1">
      <alignment horizontal="center" vertical="center"/>
    </xf>
    <xf numFmtId="0" fontId="2" fillId="0" borderId="0" xfId="38"/>
    <xf numFmtId="0" fontId="30" fillId="0" borderId="0" xfId="38" applyFont="1" applyAlignment="1">
      <alignment horizontal="center" vertical="center"/>
    </xf>
    <xf numFmtId="0" fontId="30" fillId="0" borderId="0" xfId="38" applyFont="1"/>
    <xf numFmtId="0" fontId="31" fillId="0" borderId="0" xfId="38" applyFont="1" applyAlignment="1">
      <alignment horizontal="right"/>
    </xf>
    <xf numFmtId="0" fontId="31" fillId="0" borderId="0" xfId="38" applyFont="1"/>
    <xf numFmtId="0" fontId="31" fillId="0" borderId="0" xfId="38" applyFont="1" applyAlignment="1">
      <alignment horizontal="right" vertical="center"/>
    </xf>
    <xf numFmtId="0" fontId="2" fillId="0" borderId="17" xfId="38" applyBorder="1"/>
    <xf numFmtId="0" fontId="33" fillId="0" borderId="17" xfId="38" applyFont="1" applyBorder="1" applyAlignment="1">
      <alignment horizontal="center"/>
    </xf>
    <xf numFmtId="173" fontId="2" fillId="0" borderId="114" xfId="38" applyNumberFormat="1" applyBorder="1" applyAlignment="1" applyProtection="1">
      <alignment horizontal="center" vertical="center"/>
      <protection locked="0"/>
    </xf>
    <xf numFmtId="173" fontId="2" fillId="0" borderId="115" xfId="38" applyNumberFormat="1" applyBorder="1" applyAlignment="1" applyProtection="1">
      <alignment horizontal="center" vertical="center"/>
      <protection locked="0"/>
    </xf>
    <xf numFmtId="0" fontId="2" fillId="0" borderId="13" xfId="38" applyBorder="1" applyAlignment="1">
      <alignment horizontal="center" vertical="center"/>
    </xf>
    <xf numFmtId="0" fontId="2" fillId="0" borderId="43" xfId="38" applyBorder="1" applyAlignment="1" applyProtection="1">
      <alignment horizontal="left" vertical="center"/>
      <protection locked="0"/>
    </xf>
    <xf numFmtId="0" fontId="2" fillId="0" borderId="31" xfId="38" applyBorder="1" applyAlignment="1" applyProtection="1">
      <alignment horizontal="center" vertical="center"/>
      <protection locked="0"/>
    </xf>
    <xf numFmtId="0" fontId="2" fillId="0" borderId="21" xfId="38" applyBorder="1" applyAlignment="1" applyProtection="1">
      <alignment horizontal="center" vertical="center"/>
      <protection locked="0"/>
    </xf>
    <xf numFmtId="0" fontId="2" fillId="0" borderId="116" xfId="38" applyBorder="1" applyAlignment="1" applyProtection="1">
      <alignment horizontal="center" vertical="center"/>
      <protection locked="0"/>
    </xf>
    <xf numFmtId="0" fontId="2" fillId="0" borderId="57" xfId="38" applyBorder="1" applyAlignment="1" applyProtection="1">
      <alignment horizontal="center" vertical="center"/>
      <protection locked="0"/>
    </xf>
    <xf numFmtId="0" fontId="2" fillId="0" borderId="104" xfId="38" applyBorder="1" applyAlignment="1" applyProtection="1">
      <alignment horizontal="center" vertical="center"/>
      <protection locked="0"/>
    </xf>
    <xf numFmtId="0" fontId="2" fillId="0" borderId="38" xfId="38" applyBorder="1" applyAlignment="1">
      <alignment horizontal="center" vertical="center"/>
    </xf>
    <xf numFmtId="0" fontId="2" fillId="0" borderId="45" xfId="38" applyBorder="1" applyAlignment="1" applyProtection="1">
      <alignment horizontal="left" vertical="center"/>
      <protection locked="0"/>
    </xf>
    <xf numFmtId="0" fontId="2" fillId="0" borderId="117" xfId="38" applyBorder="1" applyAlignment="1" applyProtection="1">
      <alignment horizontal="center" vertical="center"/>
      <protection locked="0"/>
    </xf>
    <xf numFmtId="0" fontId="2" fillId="0" borderId="118" xfId="38" applyBorder="1" applyAlignment="1" applyProtection="1">
      <alignment horizontal="center" vertical="center"/>
      <protection locked="0"/>
    </xf>
    <xf numFmtId="0" fontId="2" fillId="0" borderId="65" xfId="38" applyBorder="1" applyAlignment="1" applyProtection="1">
      <alignment horizontal="center" vertical="center"/>
      <protection locked="0"/>
    </xf>
    <xf numFmtId="0" fontId="2" fillId="0" borderId="109" xfId="38" applyBorder="1" applyAlignment="1" applyProtection="1">
      <alignment horizontal="center" vertical="center"/>
      <protection locked="0"/>
    </xf>
    <xf numFmtId="0" fontId="2" fillId="0" borderId="103" xfId="38" applyBorder="1" applyAlignment="1">
      <alignment horizontal="center" vertical="center"/>
    </xf>
    <xf numFmtId="0" fontId="2" fillId="0" borderId="119" xfId="38" applyBorder="1" applyAlignment="1" applyProtection="1">
      <alignment horizontal="left" vertical="center"/>
      <protection locked="0"/>
    </xf>
    <xf numFmtId="0" fontId="2" fillId="0" borderId="15" xfId="38" applyBorder="1" applyAlignment="1">
      <alignment horizontal="center" vertical="center"/>
    </xf>
    <xf numFmtId="0" fontId="2" fillId="0" borderId="120" xfId="38" applyBorder="1" applyAlignment="1" applyProtection="1">
      <alignment horizontal="left" vertical="center"/>
      <protection locked="0"/>
    </xf>
    <xf numFmtId="0" fontId="2" fillId="0" borderId="115" xfId="38" applyBorder="1" applyAlignment="1" applyProtection="1">
      <alignment horizontal="center" vertical="center"/>
      <protection locked="0"/>
    </xf>
    <xf numFmtId="0" fontId="2" fillId="0" borderId="114" xfId="38" applyBorder="1" applyAlignment="1" applyProtection="1">
      <alignment horizontal="center" vertical="center"/>
      <protection locked="0"/>
    </xf>
    <xf numFmtId="0" fontId="2" fillId="0" borderId="107" xfId="38" applyBorder="1" applyAlignment="1" applyProtection="1">
      <alignment horizontal="center" vertical="center"/>
      <protection locked="0"/>
    </xf>
    <xf numFmtId="0" fontId="2" fillId="0" borderId="27" xfId="38" applyBorder="1" applyAlignment="1" applyProtection="1">
      <alignment horizontal="center" vertical="center"/>
      <protection locked="0"/>
    </xf>
    <xf numFmtId="0" fontId="2" fillId="0" borderId="106" xfId="38" applyBorder="1" applyAlignment="1" applyProtection="1">
      <alignment horizontal="center" vertical="center"/>
      <protection locked="0"/>
    </xf>
    <xf numFmtId="0" fontId="2" fillId="0" borderId="108" xfId="38" applyBorder="1" applyAlignment="1" applyProtection="1">
      <alignment horizontal="center" vertical="center"/>
      <protection locked="0"/>
    </xf>
    <xf numFmtId="0" fontId="2" fillId="0" borderId="0" xfId="38" applyAlignment="1">
      <alignment horizontal="center"/>
    </xf>
    <xf numFmtId="0" fontId="15" fillId="0" borderId="0" xfId="38" applyFont="1"/>
    <xf numFmtId="0" fontId="3" fillId="0" borderId="0" xfId="38" applyFont="1" applyAlignment="1">
      <alignment horizontal="left"/>
    </xf>
    <xf numFmtId="0" fontId="3" fillId="0" borderId="0" xfId="38" applyFont="1" applyAlignment="1">
      <alignment horizontal="left" vertical="center"/>
    </xf>
    <xf numFmtId="173" fontId="2" fillId="0" borderId="114" xfId="38" applyNumberFormat="1" applyBorder="1" applyAlignment="1">
      <alignment horizontal="center" vertical="center"/>
    </xf>
    <xf numFmtId="0" fontId="2" fillId="0" borderId="110" xfId="38" applyBorder="1" applyAlignment="1">
      <alignment horizontal="center" vertical="center"/>
    </xf>
    <xf numFmtId="0" fontId="2" fillId="0" borderId="30" xfId="38" applyBorder="1" applyAlignment="1">
      <alignment horizontal="center" vertical="center"/>
    </xf>
    <xf numFmtId="0" fontId="2" fillId="0" borderId="30" xfId="38" applyBorder="1"/>
    <xf numFmtId="0" fontId="3" fillId="0" borderId="0" xfId="38" applyFont="1" applyAlignment="1">
      <alignment horizontal="center"/>
    </xf>
    <xf numFmtId="0" fontId="40" fillId="0" borderId="0" xfId="0" applyFont="1"/>
    <xf numFmtId="0" fontId="41" fillId="0" borderId="0" xfId="0" quotePrefix="1" applyFont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40" fillId="9" borderId="0" xfId="0" applyFont="1" applyFill="1"/>
    <xf numFmtId="0" fontId="42" fillId="9" borderId="0" xfId="0" applyFont="1" applyFill="1" applyAlignment="1">
      <alignment horizontal="center"/>
    </xf>
    <xf numFmtId="0" fontId="40" fillId="9" borderId="0" xfId="0" applyFont="1" applyFill="1" applyAlignment="1">
      <alignment horizontal="center"/>
    </xf>
    <xf numFmtId="0" fontId="47" fillId="0" borderId="0" xfId="0" applyFont="1"/>
    <xf numFmtId="0" fontId="47" fillId="9" borderId="0" xfId="0" applyFont="1" applyFill="1"/>
    <xf numFmtId="0" fontId="47" fillId="9" borderId="0" xfId="0" applyFont="1" applyFill="1" applyAlignment="1">
      <alignment horizontal="center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7" fillId="9" borderId="0" xfId="0" applyFont="1" applyFill="1" applyAlignment="1">
      <alignment horizontal="center" wrapText="1"/>
    </xf>
    <xf numFmtId="174" fontId="48" fillId="0" borderId="0" xfId="0" applyNumberFormat="1" applyFont="1" applyAlignment="1">
      <alignment horizontal="center" vertical="center"/>
    </xf>
    <xf numFmtId="174" fontId="48" fillId="0" borderId="128" xfId="0" applyNumberFormat="1" applyFont="1" applyBorder="1" applyAlignment="1">
      <alignment horizontal="center" vertical="center"/>
    </xf>
    <xf numFmtId="174" fontId="48" fillId="0" borderId="129" xfId="0" applyNumberFormat="1" applyFont="1" applyBorder="1" applyAlignment="1">
      <alignment horizontal="center" vertical="center"/>
    </xf>
    <xf numFmtId="0" fontId="48" fillId="0" borderId="58" xfId="0" applyFont="1" applyBorder="1" applyAlignment="1">
      <alignment horizontal="center" vertical="center" wrapText="1"/>
    </xf>
    <xf numFmtId="174" fontId="48" fillId="0" borderId="58" xfId="0" applyNumberFormat="1" applyFont="1" applyBorder="1" applyAlignment="1">
      <alignment horizontal="center" vertical="center"/>
    </xf>
    <xf numFmtId="174" fontId="48" fillId="0" borderId="73" xfId="0" applyNumberFormat="1" applyFont="1" applyBorder="1" applyAlignment="1">
      <alignment horizontal="center" vertical="center"/>
    </xf>
    <xf numFmtId="174" fontId="48" fillId="0" borderId="82" xfId="0" applyNumberFormat="1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52" fillId="0" borderId="0" xfId="0" applyFont="1" applyAlignment="1">
      <alignment horizontal="center" vertical="center"/>
    </xf>
    <xf numFmtId="0" fontId="53" fillId="0" borderId="0" xfId="0" applyFont="1"/>
    <xf numFmtId="0" fontId="54" fillId="0" borderId="0" xfId="0" applyFont="1" applyAlignment="1">
      <alignment horizontal="center" vertical="center"/>
    </xf>
    <xf numFmtId="0" fontId="55" fillId="0" borderId="0" xfId="0" applyFont="1"/>
    <xf numFmtId="0" fontId="56" fillId="0" borderId="0" xfId="0" applyFont="1"/>
    <xf numFmtId="0" fontId="57" fillId="0" borderId="0" xfId="0" applyFont="1"/>
    <xf numFmtId="0" fontId="56" fillId="0" borderId="0" xfId="0" applyFont="1" applyAlignment="1">
      <alignment vertical="center"/>
    </xf>
    <xf numFmtId="0" fontId="58" fillId="0" borderId="0" xfId="39" applyFont="1" applyAlignment="1"/>
    <xf numFmtId="0" fontId="53" fillId="0" borderId="0" xfId="0" applyFont="1" applyAlignment="1">
      <alignment horizontal="left" vertical="center" indent="4"/>
    </xf>
    <xf numFmtId="0" fontId="59" fillId="0" borderId="0" xfId="0" applyFont="1" applyAlignment="1">
      <alignment horizontal="left" vertical="center" indent="6"/>
    </xf>
    <xf numFmtId="0" fontId="60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 indent="9"/>
    </xf>
    <xf numFmtId="0" fontId="64" fillId="0" borderId="0" xfId="0" applyFont="1" applyAlignment="1">
      <alignment horizontal="center" vertical="center"/>
    </xf>
    <xf numFmtId="0" fontId="65" fillId="0" borderId="0" xfId="0" applyFont="1"/>
    <xf numFmtId="0" fontId="66" fillId="0" borderId="0" xfId="0" applyFont="1"/>
    <xf numFmtId="0" fontId="67" fillId="0" borderId="0" xfId="0" applyFont="1" applyAlignment="1">
      <alignment vertical="center"/>
    </xf>
    <xf numFmtId="0" fontId="67" fillId="0" borderId="0" xfId="0" applyFont="1"/>
    <xf numFmtId="0" fontId="68" fillId="0" borderId="0" xfId="0" applyFont="1"/>
    <xf numFmtId="0" fontId="46" fillId="0" borderId="0" xfId="0" applyFont="1" applyAlignment="1">
      <alignment vertical="center"/>
    </xf>
    <xf numFmtId="0" fontId="46" fillId="3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69" fillId="0" borderId="0" xfId="0" applyFont="1"/>
    <xf numFmtId="0" fontId="49" fillId="0" borderId="0" xfId="0" applyFont="1" applyAlignment="1">
      <alignment horizontal="centerContinuous" vertical="center"/>
    </xf>
    <xf numFmtId="0" fontId="43" fillId="0" borderId="0" xfId="0" applyFont="1" applyAlignment="1">
      <alignment horizontal="centerContinuous" vertical="center"/>
    </xf>
    <xf numFmtId="0" fontId="43" fillId="0" borderId="44" xfId="0" applyFont="1" applyBorder="1" applyAlignment="1">
      <alignment horizontal="centerContinuous" vertical="center"/>
    </xf>
    <xf numFmtId="0" fontId="40" fillId="0" borderId="44" xfId="0" applyFont="1" applyBorder="1" applyAlignment="1">
      <alignment vertical="center"/>
    </xf>
    <xf numFmtId="0" fontId="62" fillId="0" borderId="0" xfId="0" applyFont="1" applyAlignment="1">
      <alignment vertical="center"/>
    </xf>
    <xf numFmtId="0" fontId="69" fillId="0" borderId="0" xfId="0" applyFont="1" applyAlignment="1">
      <alignment horizontal="left" vertical="center"/>
    </xf>
    <xf numFmtId="0" fontId="69" fillId="0" borderId="0" xfId="0" applyFont="1" applyAlignment="1">
      <alignment horizontal="center" vertical="center"/>
    </xf>
    <xf numFmtId="0" fontId="40" fillId="0" borderId="18" xfId="0" applyFont="1" applyBorder="1" applyAlignment="1">
      <alignment horizontal="centerContinuous" vertical="center"/>
    </xf>
    <xf numFmtId="0" fontId="43" fillId="0" borderId="19" xfId="0" applyFont="1" applyBorder="1" applyAlignment="1">
      <alignment horizontal="center" vertical="center"/>
    </xf>
    <xf numFmtId="0" fontId="43" fillId="0" borderId="49" xfId="0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40" fillId="0" borderId="33" xfId="0" applyFont="1" applyBorder="1" applyAlignment="1">
      <alignment vertical="center"/>
    </xf>
    <xf numFmtId="0" fontId="69" fillId="0" borderId="36" xfId="0" applyFont="1" applyBorder="1" applyAlignment="1">
      <alignment horizontal="center" vertical="center"/>
    </xf>
    <xf numFmtId="0" fontId="69" fillId="0" borderId="37" xfId="0" applyFont="1" applyBorder="1" applyAlignment="1">
      <alignment horizontal="center" vertical="center"/>
    </xf>
    <xf numFmtId="0" fontId="69" fillId="0" borderId="21" xfId="0" applyFont="1" applyBorder="1" applyAlignment="1">
      <alignment horizontal="center" vertical="center"/>
    </xf>
    <xf numFmtId="0" fontId="40" fillId="0" borderId="28" xfId="0" applyFont="1" applyBorder="1"/>
    <xf numFmtId="0" fontId="40" fillId="0" borderId="123" xfId="0" applyFont="1" applyBorder="1" applyAlignment="1">
      <alignment horizontal="right" vertical="center"/>
    </xf>
    <xf numFmtId="0" fontId="40" fillId="0" borderId="22" xfId="0" applyFont="1" applyBorder="1" applyAlignment="1">
      <alignment horizontal="right" vertical="center"/>
    </xf>
    <xf numFmtId="0" fontId="40" fillId="0" borderId="30" xfId="0" applyFont="1" applyBorder="1" applyAlignment="1">
      <alignment horizontal="center" vertical="center"/>
    </xf>
    <xf numFmtId="0" fontId="40" fillId="0" borderId="20" xfId="0" applyFont="1" applyBorder="1" applyAlignment="1">
      <alignment vertical="center"/>
    </xf>
    <xf numFmtId="0" fontId="43" fillId="0" borderId="53" xfId="0" applyFont="1" applyBorder="1" applyAlignment="1">
      <alignment vertical="center"/>
    </xf>
    <xf numFmtId="0" fontId="69" fillId="0" borderId="0" xfId="0" applyFont="1" applyAlignment="1">
      <alignment vertical="center"/>
    </xf>
    <xf numFmtId="0" fontId="74" fillId="0" borderId="17" xfId="0" applyFont="1" applyBorder="1" applyAlignment="1">
      <alignment horizontal="right" vertical="center"/>
    </xf>
    <xf numFmtId="0" fontId="74" fillId="0" borderId="132" xfId="0" applyFont="1" applyBorder="1" applyAlignment="1">
      <alignment horizontal="right" vertical="center"/>
    </xf>
    <xf numFmtId="0" fontId="74" fillId="0" borderId="133" xfId="0" applyFont="1" applyBorder="1" applyAlignment="1">
      <alignment horizontal="right" vertical="center"/>
    </xf>
    <xf numFmtId="0" fontId="43" fillId="0" borderId="0" xfId="0" applyFont="1" applyAlignment="1">
      <alignment vertical="center"/>
    </xf>
    <xf numFmtId="0" fontId="70" fillId="0" borderId="0" xfId="0" applyFont="1"/>
    <xf numFmtId="0" fontId="75" fillId="0" borderId="0" xfId="0" applyFont="1"/>
    <xf numFmtId="0" fontId="41" fillId="0" borderId="0" xfId="0" quotePrefix="1" applyFont="1" applyAlignment="1">
      <alignment horizontal="right" vertical="center"/>
    </xf>
    <xf numFmtId="0" fontId="48" fillId="0" borderId="52" xfId="0" applyFont="1" applyBorder="1" applyAlignment="1">
      <alignment horizontal="centerContinuous"/>
    </xf>
    <xf numFmtId="0" fontId="48" fillId="0" borderId="126" xfId="0" applyFont="1" applyBorder="1" applyAlignment="1">
      <alignment horizontal="centerContinuous"/>
    </xf>
    <xf numFmtId="0" fontId="48" fillId="0" borderId="39" xfId="0" applyFont="1" applyBorder="1" applyAlignment="1">
      <alignment horizontal="centerContinuous"/>
    </xf>
    <xf numFmtId="0" fontId="48" fillId="0" borderId="88" xfId="0" applyFont="1" applyBorder="1" applyAlignment="1">
      <alignment horizontal="centerContinuous"/>
    </xf>
    <xf numFmtId="0" fontId="74" fillId="4" borderId="73" xfId="0" applyFont="1" applyFill="1" applyBorder="1" applyAlignment="1" applyProtection="1">
      <alignment horizontal="center" vertical="center"/>
      <protection locked="0"/>
    </xf>
    <xf numFmtId="0" fontId="78" fillId="0" borderId="131" xfId="0" applyFont="1" applyBorder="1" applyAlignment="1">
      <alignment horizontal="left"/>
    </xf>
    <xf numFmtId="0" fontId="40" fillId="0" borderId="28" xfId="0" applyFont="1" applyBorder="1" applyAlignment="1">
      <alignment horizontal="center"/>
    </xf>
    <xf numFmtId="0" fontId="48" fillId="0" borderId="74" xfId="0" applyFont="1" applyBorder="1" applyAlignment="1">
      <alignment horizontal="centerContinuous"/>
    </xf>
    <xf numFmtId="0" fontId="48" fillId="0" borderId="73" xfId="0" applyFont="1" applyBorder="1" applyAlignment="1">
      <alignment horizontal="left" vertical="center"/>
    </xf>
    <xf numFmtId="0" fontId="48" fillId="0" borderId="64" xfId="0" applyFont="1" applyBorder="1" applyAlignment="1">
      <alignment horizontal="centerContinuous"/>
    </xf>
    <xf numFmtId="0" fontId="48" fillId="0" borderId="124" xfId="0" applyFont="1" applyBorder="1" applyAlignment="1">
      <alignment horizontal="centerContinuous"/>
    </xf>
    <xf numFmtId="0" fontId="48" fillId="0" borderId="0" xfId="0" applyFont="1" applyAlignment="1">
      <alignment horizontal="centerContinuous"/>
    </xf>
    <xf numFmtId="0" fontId="48" fillId="0" borderId="0" xfId="0" applyFont="1" applyAlignment="1">
      <alignment horizontal="left" vertical="center"/>
    </xf>
    <xf numFmtId="0" fontId="48" fillId="0" borderId="127" xfId="0" applyFont="1" applyBorder="1" applyAlignment="1">
      <alignment horizontal="center" vertical="center"/>
    </xf>
    <xf numFmtId="0" fontId="43" fillId="0" borderId="0" xfId="0" applyFont="1" applyAlignment="1">
      <alignment horizontal="left"/>
    </xf>
    <xf numFmtId="0" fontId="81" fillId="0" borderId="0" xfId="0" applyFont="1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47" fillId="0" borderId="25" xfId="0" applyFont="1" applyBorder="1" applyAlignment="1">
      <alignment horizontal="centerContinuous"/>
    </xf>
    <xf numFmtId="0" fontId="48" fillId="0" borderId="25" xfId="0" applyFont="1" applyBorder="1" applyAlignment="1">
      <alignment horizontal="left" vertical="center"/>
    </xf>
    <xf numFmtId="0" fontId="40" fillId="0" borderId="25" xfId="0" applyFont="1" applyBorder="1"/>
    <xf numFmtId="0" fontId="40" fillId="0" borderId="87" xfId="0" applyFont="1" applyBorder="1"/>
    <xf numFmtId="0" fontId="47" fillId="0" borderId="0" xfId="0" applyFont="1" applyAlignment="1">
      <alignment horizontal="centerContinuous"/>
    </xf>
    <xf numFmtId="0" fontId="40" fillId="0" borderId="127" xfId="0" applyFont="1" applyBorder="1"/>
    <xf numFmtId="0" fontId="47" fillId="0" borderId="0" xfId="0" applyFont="1" applyAlignment="1">
      <alignment horizontal="left"/>
    </xf>
    <xf numFmtId="0" fontId="40" fillId="0" borderId="28" xfId="0" applyFont="1" applyBorder="1" applyProtection="1">
      <protection locked="0"/>
    </xf>
    <xf numFmtId="0" fontId="40" fillId="0" borderId="26" xfId="0" applyFont="1" applyBorder="1"/>
    <xf numFmtId="0" fontId="47" fillId="0" borderId="97" xfId="0" applyFont="1" applyBorder="1"/>
    <xf numFmtId="0" fontId="48" fillId="0" borderId="0" xfId="0" applyFont="1" applyAlignment="1">
      <alignment horizontal="left"/>
    </xf>
    <xf numFmtId="0" fontId="82" fillId="4" borderId="1" xfId="0" applyFont="1" applyFill="1" applyBorder="1" applyAlignment="1" applyProtection="1">
      <alignment horizontal="left" vertical="top"/>
      <protection locked="0"/>
    </xf>
    <xf numFmtId="0" fontId="40" fillId="0" borderId="0" xfId="0" applyFont="1" applyAlignment="1">
      <alignment horizontal="left"/>
    </xf>
    <xf numFmtId="0" fontId="40" fillId="0" borderId="63" xfId="0" applyFont="1" applyBorder="1" applyAlignment="1">
      <alignment horizontal="left"/>
    </xf>
    <xf numFmtId="166" fontId="43" fillId="0" borderId="65" xfId="0" applyNumberFormat="1" applyFont="1" applyBorder="1" applyAlignment="1">
      <alignment horizontal="right"/>
    </xf>
    <xf numFmtId="0" fontId="40" fillId="0" borderId="0" xfId="0" applyFont="1" applyAlignment="1">
      <alignment horizontal="center" vertical="center"/>
    </xf>
    <xf numFmtId="166" fontId="43" fillId="0" borderId="0" xfId="0" applyNumberFormat="1" applyFont="1" applyAlignment="1">
      <alignment horizontal="right"/>
    </xf>
    <xf numFmtId="0" fontId="87" fillId="0" borderId="0" xfId="0" applyFont="1"/>
    <xf numFmtId="0" fontId="88" fillId="0" borderId="0" xfId="0" applyFont="1" applyAlignment="1">
      <alignment horizontal="center"/>
    </xf>
    <xf numFmtId="0" fontId="84" fillId="0" borderId="0" xfId="0" applyFont="1"/>
    <xf numFmtId="166" fontId="75" fillId="0" borderId="0" xfId="0" applyNumberFormat="1" applyFont="1" applyAlignment="1">
      <alignment horizontal="center"/>
    </xf>
    <xf numFmtId="0" fontId="75" fillId="0" borderId="0" xfId="0" applyFont="1" applyAlignment="1">
      <alignment horizontal="center"/>
    </xf>
    <xf numFmtId="0" fontId="40" fillId="4" borderId="65" xfId="0" applyFont="1" applyFill="1" applyBorder="1" applyProtection="1">
      <protection locked="0"/>
    </xf>
    <xf numFmtId="0" fontId="40" fillId="5" borderId="0" xfId="0" applyFont="1" applyFill="1"/>
    <xf numFmtId="0" fontId="40" fillId="0" borderId="52" xfId="0" applyFont="1" applyBorder="1" applyAlignment="1">
      <alignment vertical="center"/>
    </xf>
    <xf numFmtId="0" fontId="40" fillId="0" borderId="53" xfId="0" applyFont="1" applyBorder="1" applyAlignment="1">
      <alignment vertical="center"/>
    </xf>
    <xf numFmtId="0" fontId="40" fillId="0" borderId="61" xfId="0" applyFont="1" applyBorder="1" applyAlignment="1">
      <alignment vertical="center"/>
    </xf>
    <xf numFmtId="0" fontId="49" fillId="0" borderId="67" xfId="0" applyFont="1" applyBorder="1" applyAlignment="1">
      <alignment vertical="center"/>
    </xf>
    <xf numFmtId="0" fontId="40" fillId="0" borderId="63" xfId="0" applyFont="1" applyBorder="1" applyAlignment="1">
      <alignment vertical="center"/>
    </xf>
    <xf numFmtId="0" fontId="40" fillId="5" borderId="54" xfId="0" applyFont="1" applyFill="1" applyBorder="1" applyAlignment="1">
      <alignment vertical="center"/>
    </xf>
    <xf numFmtId="0" fontId="40" fillId="5" borderId="20" xfId="0" applyFont="1" applyFill="1" applyBorder="1" applyAlignment="1">
      <alignment vertical="center"/>
    </xf>
    <xf numFmtId="0" fontId="40" fillId="5" borderId="55" xfId="0" applyFont="1" applyFill="1" applyBorder="1" applyAlignment="1">
      <alignment vertical="center"/>
    </xf>
    <xf numFmtId="0" fontId="43" fillId="0" borderId="79" xfId="0" applyFont="1" applyBorder="1" applyAlignment="1">
      <alignment horizontal="center" vertical="center"/>
    </xf>
    <xf numFmtId="0" fontId="43" fillId="0" borderId="53" xfId="0" applyFont="1" applyBorder="1" applyAlignment="1">
      <alignment horizontal="centerContinuous" vertical="center"/>
    </xf>
    <xf numFmtId="0" fontId="43" fillId="0" borderId="61" xfId="0" applyFont="1" applyBorder="1" applyAlignment="1">
      <alignment horizontal="centerContinuous" vertical="center"/>
    </xf>
    <xf numFmtId="0" fontId="43" fillId="0" borderId="52" xfId="0" applyFont="1" applyBorder="1" applyAlignment="1">
      <alignment horizontal="centerContinuous" vertical="center"/>
    </xf>
    <xf numFmtId="0" fontId="40" fillId="0" borderId="57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40" fillId="0" borderId="55" xfId="0" applyFont="1" applyBorder="1" applyAlignment="1">
      <alignment horizontal="centerContinuous" vertical="center"/>
    </xf>
    <xf numFmtId="0" fontId="69" fillId="0" borderId="54" xfId="0" applyFont="1" applyBorder="1" applyAlignment="1">
      <alignment horizontal="center" vertical="center"/>
    </xf>
    <xf numFmtId="0" fontId="69" fillId="0" borderId="68" xfId="0" applyFont="1" applyBorder="1" applyAlignment="1">
      <alignment horizontal="center" vertical="center"/>
    </xf>
    <xf numFmtId="0" fontId="43" fillId="0" borderId="57" xfId="0" applyFont="1" applyBorder="1" applyAlignment="1">
      <alignment horizontal="center" vertical="center"/>
    </xf>
    <xf numFmtId="0" fontId="40" fillId="0" borderId="65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14" fontId="69" fillId="4" borderId="71" xfId="0" applyNumberFormat="1" applyFont="1" applyFill="1" applyBorder="1" applyAlignment="1" applyProtection="1">
      <alignment horizontal="center" vertical="center"/>
      <protection locked="0"/>
    </xf>
    <xf numFmtId="168" fontId="69" fillId="4" borderId="77" xfId="0" applyNumberFormat="1" applyFont="1" applyFill="1" applyBorder="1" applyAlignment="1" applyProtection="1">
      <alignment horizontal="center"/>
      <protection locked="0"/>
    </xf>
    <xf numFmtId="168" fontId="69" fillId="4" borderId="23" xfId="0" applyNumberFormat="1" applyFont="1" applyFill="1" applyBorder="1" applyAlignment="1" applyProtection="1">
      <alignment horizontal="center" vertical="center"/>
      <protection locked="0"/>
    </xf>
    <xf numFmtId="168" fontId="69" fillId="4" borderId="62" xfId="0" applyNumberFormat="1" applyFont="1" applyFill="1" applyBorder="1" applyAlignment="1" applyProtection="1">
      <alignment horizontal="center" vertical="center"/>
      <protection locked="0"/>
    </xf>
    <xf numFmtId="168" fontId="69" fillId="4" borderId="70" xfId="0" applyNumberFormat="1" applyFont="1" applyFill="1" applyBorder="1" applyAlignment="1" applyProtection="1">
      <alignment horizontal="center" vertical="center"/>
      <protection locked="0"/>
    </xf>
    <xf numFmtId="4" fontId="69" fillId="0" borderId="23" xfId="0" applyNumberFormat="1" applyFont="1" applyBorder="1" applyAlignment="1">
      <alignment horizontal="center" vertical="center"/>
    </xf>
    <xf numFmtId="14" fontId="69" fillId="4" borderId="105" xfId="0" applyNumberFormat="1" applyFont="1" applyFill="1" applyBorder="1" applyAlignment="1" applyProtection="1">
      <alignment horizontal="center"/>
      <protection locked="0"/>
    </xf>
    <xf numFmtId="2" fontId="69" fillId="0" borderId="32" xfId="0" applyNumberFormat="1" applyFont="1" applyBorder="1" applyAlignment="1">
      <alignment horizontal="center" vertical="center"/>
    </xf>
    <xf numFmtId="14" fontId="69" fillId="4" borderId="32" xfId="0" applyNumberFormat="1" applyFont="1" applyFill="1" applyBorder="1" applyAlignment="1" applyProtection="1">
      <alignment horizontal="center" vertical="center"/>
      <protection locked="0"/>
    </xf>
    <xf numFmtId="168" fontId="69" fillId="4" borderId="83" xfId="0" applyNumberFormat="1" applyFont="1" applyFill="1" applyBorder="1" applyAlignment="1" applyProtection="1">
      <alignment horizontal="center" vertical="center"/>
      <protection locked="0"/>
    </xf>
    <xf numFmtId="168" fontId="69" fillId="4" borderId="25" xfId="0" applyNumberFormat="1" applyFont="1" applyFill="1" applyBorder="1" applyAlignment="1" applyProtection="1">
      <alignment horizontal="center" vertical="center"/>
      <protection locked="0"/>
    </xf>
    <xf numFmtId="168" fontId="69" fillId="4" borderId="74" xfId="0" applyNumberFormat="1" applyFont="1" applyFill="1" applyBorder="1" applyAlignment="1" applyProtection="1">
      <alignment horizontal="center" vertical="center"/>
      <protection locked="0"/>
    </xf>
    <xf numFmtId="2" fontId="69" fillId="0" borderId="69" xfId="0" applyNumberFormat="1" applyFont="1" applyBorder="1" applyAlignment="1">
      <alignment horizontal="center" vertical="center"/>
    </xf>
    <xf numFmtId="14" fontId="69" fillId="4" borderId="57" xfId="0" applyNumberFormat="1" applyFont="1" applyFill="1" applyBorder="1" applyAlignment="1" applyProtection="1">
      <alignment horizontal="center" vertical="center"/>
      <protection locked="0"/>
    </xf>
    <xf numFmtId="168" fontId="69" fillId="4" borderId="54" xfId="0" applyNumberFormat="1" applyFont="1" applyFill="1" applyBorder="1" applyAlignment="1" applyProtection="1">
      <alignment horizontal="center" vertical="center"/>
      <protection locked="0"/>
    </xf>
    <xf numFmtId="168" fontId="69" fillId="4" borderId="68" xfId="0" applyNumberFormat="1" applyFont="1" applyFill="1" applyBorder="1" applyAlignment="1" applyProtection="1">
      <alignment horizontal="center" vertical="center"/>
      <protection locked="0"/>
    </xf>
    <xf numFmtId="168" fontId="69" fillId="4" borderId="64" xfId="0" applyNumberFormat="1" applyFont="1" applyFill="1" applyBorder="1" applyAlignment="1" applyProtection="1">
      <alignment horizontal="center" vertical="center"/>
      <protection locked="0"/>
    </xf>
    <xf numFmtId="168" fontId="69" fillId="4" borderId="80" xfId="0" applyNumberFormat="1" applyFont="1" applyFill="1" applyBorder="1" applyAlignment="1" applyProtection="1">
      <alignment horizontal="center" vertical="center"/>
      <protection locked="0"/>
    </xf>
    <xf numFmtId="168" fontId="69" fillId="4" borderId="66" xfId="0" applyNumberFormat="1" applyFont="1" applyFill="1" applyBorder="1" applyAlignment="1" applyProtection="1">
      <alignment horizontal="center" vertical="center"/>
      <protection locked="0"/>
    </xf>
    <xf numFmtId="168" fontId="69" fillId="4" borderId="55" xfId="0" applyNumberFormat="1" applyFont="1" applyFill="1" applyBorder="1" applyAlignment="1" applyProtection="1">
      <alignment horizontal="center" vertical="center"/>
      <protection locked="0"/>
    </xf>
    <xf numFmtId="0" fontId="48" fillId="0" borderId="0" xfId="0" applyFont="1" applyAlignment="1">
      <alignment horizontal="centerContinuous" vertical="center"/>
    </xf>
    <xf numFmtId="0" fontId="47" fillId="0" borderId="0" xfId="0" applyFont="1" applyAlignment="1">
      <alignment horizontal="centerContinuous" vertical="center"/>
    </xf>
    <xf numFmtId="0" fontId="47" fillId="0" borderId="63" xfId="0" applyFont="1" applyBorder="1" applyAlignment="1">
      <alignment horizontal="centerContinuous" vertical="center"/>
    </xf>
    <xf numFmtId="2" fontId="47" fillId="0" borderId="72" xfId="0" applyNumberFormat="1" applyFont="1" applyBorder="1" applyAlignment="1">
      <alignment horizontal="center" vertical="center"/>
    </xf>
    <xf numFmtId="2" fontId="48" fillId="0" borderId="72" xfId="0" applyNumberFormat="1" applyFont="1" applyBorder="1" applyAlignment="1">
      <alignment horizontal="center" vertical="center"/>
    </xf>
    <xf numFmtId="2" fontId="48" fillId="0" borderId="81" xfId="0" applyNumberFormat="1" applyFont="1" applyBorder="1" applyAlignment="1">
      <alignment horizontal="center" vertical="center"/>
    </xf>
    <xf numFmtId="0" fontId="40" fillId="5" borderId="25" xfId="0" applyFont="1" applyFill="1" applyBorder="1"/>
    <xf numFmtId="0" fontId="40" fillId="0" borderId="58" xfId="0" applyFont="1" applyBorder="1"/>
    <xf numFmtId="0" fontId="40" fillId="0" borderId="58" xfId="0" applyFont="1" applyBorder="1" applyAlignment="1">
      <alignment horizontal="left"/>
    </xf>
    <xf numFmtId="0" fontId="69" fillId="5" borderId="25" xfId="0" quotePrefix="1" applyFont="1" applyFill="1" applyBorder="1" applyAlignment="1">
      <alignment horizontal="centerContinuous" vertical="center"/>
    </xf>
    <xf numFmtId="0" fontId="40" fillId="5" borderId="58" xfId="0" applyFont="1" applyFill="1" applyBorder="1" applyAlignment="1">
      <alignment horizontal="centerContinuous"/>
    </xf>
    <xf numFmtId="0" fontId="40" fillId="5" borderId="0" xfId="0" applyFont="1" applyFill="1" applyAlignment="1">
      <alignment horizontal="centerContinuous"/>
    </xf>
    <xf numFmtId="0" fontId="69" fillId="0" borderId="0" xfId="0" quotePrefix="1" applyFont="1" applyAlignment="1">
      <alignment horizontal="centerContinuous" vertical="center"/>
    </xf>
    <xf numFmtId="0" fontId="40" fillId="0" borderId="0" xfId="0" applyFont="1" applyAlignment="1">
      <alignment horizontal="centerContinuous"/>
    </xf>
    <xf numFmtId="0" fontId="69" fillId="5" borderId="0" xfId="0" quotePrefix="1" applyFont="1" applyFill="1" applyAlignment="1">
      <alignment horizontal="centerContinuous" vertical="center"/>
    </xf>
    <xf numFmtId="0" fontId="74" fillId="4" borderId="83" xfId="0" applyFont="1" applyFill="1" applyBorder="1" applyAlignment="1" applyProtection="1">
      <alignment horizontal="center" vertical="center"/>
      <protection locked="0"/>
    </xf>
    <xf numFmtId="0" fontId="43" fillId="0" borderId="0" xfId="0" applyFont="1"/>
    <xf numFmtId="0" fontId="40" fillId="0" borderId="0" xfId="0" quotePrefix="1" applyFont="1" applyAlignment="1">
      <alignment horizontal="left" vertical="center"/>
    </xf>
    <xf numFmtId="0" fontId="40" fillId="0" borderId="62" xfId="0" applyFont="1" applyBorder="1" applyAlignment="1">
      <alignment horizontal="right" vertical="center"/>
    </xf>
    <xf numFmtId="0" fontId="40" fillId="0" borderId="58" xfId="0" quotePrefix="1" applyFont="1" applyBorder="1" applyAlignment="1">
      <alignment horizontal="right" vertical="center"/>
    </xf>
    <xf numFmtId="0" fontId="40" fillId="0" borderId="25" xfId="0" applyFont="1" applyBorder="1" applyAlignment="1">
      <alignment horizontal="right" vertical="center"/>
    </xf>
    <xf numFmtId="0" fontId="71" fillId="0" borderId="0" xfId="0" applyFont="1" applyAlignment="1">
      <alignment vertical="center"/>
    </xf>
    <xf numFmtId="0" fontId="40" fillId="3" borderId="0" xfId="0" applyFont="1" applyFill="1" applyAlignment="1">
      <alignment vertical="center"/>
    </xf>
    <xf numFmtId="0" fontId="71" fillId="0" borderId="0" xfId="0" applyFont="1" applyAlignment="1">
      <alignment horizontal="centerContinuous" vertical="center"/>
    </xf>
    <xf numFmtId="0" fontId="40" fillId="3" borderId="0" xfId="0" applyFont="1" applyFill="1"/>
    <xf numFmtId="0" fontId="40" fillId="0" borderId="0" xfId="0" quotePrefix="1" applyFont="1" applyAlignment="1">
      <alignment horizontal="left" vertical="center" indent="2"/>
    </xf>
    <xf numFmtId="14" fontId="40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14" fontId="40" fillId="3" borderId="0" xfId="0" applyNumberFormat="1" applyFont="1" applyFill="1" applyAlignment="1">
      <alignment horizontal="center" vertical="center"/>
    </xf>
    <xf numFmtId="20" fontId="40" fillId="3" borderId="0" xfId="0" quotePrefix="1" applyNumberFormat="1" applyFont="1" applyFill="1" applyAlignment="1">
      <alignment horizontal="center" vertical="center"/>
    </xf>
    <xf numFmtId="0" fontId="40" fillId="0" borderId="0" xfId="0" quotePrefix="1" applyFont="1" applyAlignment="1">
      <alignment horizontal="left" vertical="top"/>
    </xf>
    <xf numFmtId="0" fontId="40" fillId="0" borderId="0" xfId="0" applyFont="1" applyAlignment="1">
      <alignment vertical="top"/>
    </xf>
    <xf numFmtId="0" fontId="40" fillId="4" borderId="0" xfId="0" applyFont="1" applyFill="1" applyAlignment="1" applyProtection="1">
      <alignment horizontal="center" vertical="top"/>
      <protection locked="0"/>
    </xf>
    <xf numFmtId="0" fontId="40" fillId="0" borderId="0" xfId="0" applyFont="1" applyAlignment="1">
      <alignment horizontal="center" vertical="top"/>
    </xf>
    <xf numFmtId="0" fontId="43" fillId="2" borderId="0" xfId="0" applyFont="1" applyFill="1" applyAlignment="1">
      <alignment horizontal="left" vertical="center"/>
    </xf>
    <xf numFmtId="0" fontId="40" fillId="4" borderId="0" xfId="0" applyFont="1" applyFill="1" applyAlignment="1" applyProtection="1">
      <alignment vertical="center"/>
      <protection locked="0"/>
    </xf>
    <xf numFmtId="0" fontId="40" fillId="0" borderId="0" xfId="0" quotePrefix="1" applyFont="1" applyAlignment="1">
      <alignment horizontal="center" vertical="center"/>
    </xf>
    <xf numFmtId="164" fontId="40" fillId="0" borderId="0" xfId="0" applyNumberFormat="1" applyFont="1" applyAlignment="1">
      <alignment horizontal="right" vertical="center"/>
    </xf>
    <xf numFmtId="0" fontId="40" fillId="0" borderId="0" xfId="0" applyFont="1" applyAlignment="1">
      <alignment horizontal="right" vertical="center"/>
    </xf>
    <xf numFmtId="1" fontId="40" fillId="4" borderId="0" xfId="0" applyNumberFormat="1" applyFont="1" applyFill="1" applyAlignment="1" applyProtection="1">
      <alignment horizontal="center" vertical="center"/>
      <protection locked="0"/>
    </xf>
    <xf numFmtId="0" fontId="40" fillId="3" borderId="0" xfId="0" applyFont="1" applyFill="1" applyAlignment="1">
      <alignment horizontal="center" vertical="center"/>
    </xf>
    <xf numFmtId="165" fontId="40" fillId="0" borderId="0" xfId="0" applyNumberFormat="1" applyFont="1" applyAlignment="1">
      <alignment horizontal="right" vertical="center"/>
    </xf>
    <xf numFmtId="0" fontId="40" fillId="4" borderId="0" xfId="0" applyFont="1" applyFill="1" applyAlignment="1" applyProtection="1">
      <alignment horizontal="center" vertical="center"/>
      <protection locked="0"/>
    </xf>
    <xf numFmtId="164" fontId="40" fillId="0" borderId="0" xfId="0" applyNumberFormat="1" applyFont="1" applyAlignment="1">
      <alignment vertical="center"/>
    </xf>
    <xf numFmtId="165" fontId="93" fillId="0" borderId="0" xfId="0" applyNumberFormat="1" applyFont="1" applyAlignment="1">
      <alignment horizontal="right" vertical="center"/>
    </xf>
    <xf numFmtId="165" fontId="40" fillId="3" borderId="0" xfId="0" applyNumberFormat="1" applyFont="1" applyFill="1" applyAlignment="1">
      <alignment horizontal="right" vertical="center"/>
    </xf>
    <xf numFmtId="164" fontId="40" fillId="3" borderId="0" xfId="0" applyNumberFormat="1" applyFont="1" applyFill="1" applyAlignment="1">
      <alignment vertical="center"/>
    </xf>
    <xf numFmtId="0" fontId="40" fillId="0" borderId="0" xfId="0" applyFont="1" applyAlignment="1">
      <alignment horizontal="centerContinuous" vertical="center"/>
    </xf>
    <xf numFmtId="0" fontId="40" fillId="0" borderId="1" xfId="0" quotePrefix="1" applyFont="1" applyBorder="1" applyAlignment="1">
      <alignment horizontal="left" vertical="center"/>
    </xf>
    <xf numFmtId="1" fontId="40" fillId="3" borderId="2" xfId="0" quotePrefix="1" applyNumberFormat="1" applyFont="1" applyFill="1" applyBorder="1" applyAlignment="1">
      <alignment horizontal="centerContinuous" vertical="center"/>
    </xf>
    <xf numFmtId="0" fontId="40" fillId="0" borderId="2" xfId="0" applyFont="1" applyBorder="1" applyAlignment="1">
      <alignment horizontal="left" vertical="center"/>
    </xf>
    <xf numFmtId="166" fontId="40" fillId="0" borderId="2" xfId="0" applyNumberFormat="1" applyFont="1" applyBorder="1" applyAlignment="1">
      <alignment horizontal="right" vertical="center"/>
    </xf>
    <xf numFmtId="2" fontId="40" fillId="0" borderId="2" xfId="0" applyNumberFormat="1" applyFont="1" applyBorder="1" applyAlignment="1">
      <alignment horizontal="right" vertical="center"/>
    </xf>
    <xf numFmtId="2" fontId="40" fillId="0" borderId="2" xfId="0" applyNumberFormat="1" applyFont="1" applyBorder="1" applyAlignment="1">
      <alignment horizontal="center" vertical="center"/>
    </xf>
    <xf numFmtId="0" fontId="40" fillId="3" borderId="2" xfId="0" quotePrefix="1" applyFont="1" applyFill="1" applyBorder="1" applyAlignment="1">
      <alignment horizontal="center" vertical="center"/>
    </xf>
    <xf numFmtId="0" fontId="40" fillId="3" borderId="2" xfId="0" applyFont="1" applyFill="1" applyBorder="1" applyAlignment="1">
      <alignment horizontal="center" vertical="center"/>
    </xf>
    <xf numFmtId="166" fontId="40" fillId="3" borderId="3" xfId="0" applyNumberFormat="1" applyFont="1" applyFill="1" applyBorder="1" applyAlignment="1">
      <alignment horizontal="right" vertical="center"/>
    </xf>
    <xf numFmtId="2" fontId="40" fillId="0" borderId="0" xfId="0" applyNumberFormat="1" applyFont="1" applyAlignment="1">
      <alignment horizontal="right" vertical="center"/>
    </xf>
    <xf numFmtId="2" fontId="40" fillId="0" borderId="0" xfId="0" applyNumberFormat="1" applyFont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166" fontId="40" fillId="0" borderId="3" xfId="0" applyNumberFormat="1" applyFont="1" applyBorder="1" applyAlignment="1">
      <alignment horizontal="right" vertical="center"/>
    </xf>
    <xf numFmtId="0" fontId="74" fillId="8" borderId="0" xfId="0" applyFont="1" applyFill="1" applyAlignment="1" applyProtection="1">
      <alignment horizontal="center" vertical="center"/>
      <protection locked="0"/>
    </xf>
    <xf numFmtId="9" fontId="40" fillId="0" borderId="0" xfId="0" applyNumberFormat="1" applyFont="1" applyAlignment="1">
      <alignment horizontal="right" vertical="center"/>
    </xf>
    <xf numFmtId="7" fontId="40" fillId="0" borderId="0" xfId="0" applyNumberFormat="1" applyFont="1" applyAlignment="1">
      <alignment horizontal="right" vertical="center"/>
    </xf>
    <xf numFmtId="0" fontId="74" fillId="4" borderId="0" xfId="0" applyFont="1" applyFill="1" applyAlignment="1" applyProtection="1">
      <alignment horizontal="center" vertical="center"/>
      <protection locked="0"/>
    </xf>
    <xf numFmtId="0" fontId="43" fillId="0" borderId="0" xfId="0" applyFont="1" applyAlignment="1">
      <alignment horizontal="left" vertical="center"/>
    </xf>
    <xf numFmtId="165" fontId="94" fillId="0" borderId="0" xfId="0" applyNumberFormat="1" applyFont="1" applyAlignment="1">
      <alignment vertical="center"/>
    </xf>
    <xf numFmtId="0" fontId="40" fillId="0" borderId="0" xfId="0" quotePrefix="1" applyFont="1" applyAlignment="1">
      <alignment vertical="center"/>
    </xf>
    <xf numFmtId="0" fontId="71" fillId="0" borderId="0" xfId="0" applyFont="1" applyAlignment="1">
      <alignment vertical="top"/>
    </xf>
    <xf numFmtId="0" fontId="47" fillId="0" borderId="0" xfId="0" applyFont="1" applyAlignment="1">
      <alignment vertical="center"/>
    </xf>
    <xf numFmtId="0" fontId="40" fillId="10" borderId="0" xfId="0" applyFont="1" applyFill="1" applyAlignment="1">
      <alignment vertical="center"/>
    </xf>
    <xf numFmtId="0" fontId="40" fillId="10" borderId="0" xfId="0" applyFont="1" applyFill="1" applyAlignment="1">
      <alignment horizontal="center" vertical="center"/>
    </xf>
    <xf numFmtId="164" fontId="40" fillId="10" borderId="0" xfId="0" applyNumberFormat="1" applyFont="1" applyFill="1" applyAlignment="1">
      <alignment vertical="center"/>
    </xf>
    <xf numFmtId="0" fontId="55" fillId="0" borderId="0" xfId="0" applyFont="1" applyAlignment="1">
      <alignment vertical="center"/>
    </xf>
    <xf numFmtId="0" fontId="55" fillId="0" borderId="0" xfId="0" applyFont="1" applyAlignment="1">
      <alignment horizontal="left" vertical="center"/>
    </xf>
    <xf numFmtId="0" fontId="74" fillId="2" borderId="0" xfId="0" applyFont="1" applyFill="1" applyAlignment="1">
      <alignment vertical="center"/>
    </xf>
    <xf numFmtId="0" fontId="69" fillId="0" borderId="0" xfId="0" applyFont="1" applyAlignment="1">
      <alignment horizontal="left" indent="3"/>
    </xf>
    <xf numFmtId="0" fontId="47" fillId="0" borderId="0" xfId="0" applyFont="1" applyAlignment="1">
      <alignment horizontal="center"/>
    </xf>
    <xf numFmtId="1" fontId="76" fillId="4" borderId="79" xfId="0" applyNumberFormat="1" applyFont="1" applyFill="1" applyBorder="1" applyAlignment="1" applyProtection="1">
      <alignment vertical="center"/>
      <protection locked="0"/>
    </xf>
    <xf numFmtId="0" fontId="69" fillId="0" borderId="0" xfId="0" applyFont="1" applyAlignment="1">
      <alignment horizontal="left" vertical="center" indent="2"/>
    </xf>
    <xf numFmtId="0" fontId="48" fillId="0" borderId="0" xfId="0" applyFont="1" applyAlignment="1">
      <alignment horizontal="left" vertical="center" indent="2"/>
    </xf>
    <xf numFmtId="166" fontId="76" fillId="4" borderId="79" xfId="0" applyNumberFormat="1" applyFont="1" applyFill="1" applyBorder="1" applyAlignment="1" applyProtection="1">
      <alignment vertical="center"/>
      <protection locked="0"/>
    </xf>
    <xf numFmtId="0" fontId="40" fillId="0" borderId="0" xfId="0" applyFont="1" applyAlignment="1">
      <alignment horizontal="left" indent="2"/>
    </xf>
    <xf numFmtId="166" fontId="40" fillId="0" borderId="95" xfId="0" applyNumberFormat="1" applyFont="1" applyBorder="1" applyProtection="1">
      <protection locked="0"/>
    </xf>
    <xf numFmtId="0" fontId="69" fillId="0" borderId="0" xfId="0" applyFont="1" applyAlignment="1">
      <alignment horizontal="right"/>
    </xf>
    <xf numFmtId="0" fontId="43" fillId="0" borderId="2" xfId="0" applyFont="1" applyBorder="1" applyAlignment="1">
      <alignment horizontal="left"/>
    </xf>
    <xf numFmtId="0" fontId="48" fillId="0" borderId="2" xfId="0" applyFont="1" applyBorder="1" applyAlignment="1">
      <alignment horizontal="center"/>
    </xf>
    <xf numFmtId="0" fontId="43" fillId="0" borderId="2" xfId="0" applyFont="1" applyBorder="1"/>
    <xf numFmtId="0" fontId="71" fillId="0" borderId="2" xfId="0" applyFont="1" applyBorder="1" applyAlignment="1">
      <alignment horizontal="left"/>
    </xf>
    <xf numFmtId="0" fontId="48" fillId="0" borderId="2" xfId="0" applyFont="1" applyBorder="1" applyAlignment="1">
      <alignment horizontal="left" vertical="center"/>
    </xf>
    <xf numFmtId="0" fontId="85" fillId="0" borderId="67" xfId="0" applyFont="1" applyBorder="1" applyAlignment="1">
      <alignment horizontal="left" vertical="top"/>
    </xf>
    <xf numFmtId="0" fontId="47" fillId="0" borderId="0" xfId="0" applyFont="1" applyAlignment="1">
      <alignment horizontal="center" vertical="center"/>
    </xf>
    <xf numFmtId="0" fontId="40" fillId="0" borderId="63" xfId="0" applyFont="1" applyBorder="1" applyAlignment="1">
      <alignment horizontal="center" vertical="center"/>
    </xf>
    <xf numFmtId="166" fontId="40" fillId="0" borderId="95" xfId="0" applyNumberFormat="1" applyFont="1" applyBorder="1"/>
    <xf numFmtId="166" fontId="43" fillId="0" borderId="95" xfId="0" applyNumberFormat="1" applyFont="1" applyBorder="1"/>
    <xf numFmtId="0" fontId="73" fillId="0" borderId="0" xfId="0" applyFont="1" applyAlignment="1">
      <alignment vertical="center"/>
    </xf>
    <xf numFmtId="0" fontId="40" fillId="0" borderId="2" xfId="0" applyFont="1" applyBorder="1" applyAlignment="1">
      <alignment vertical="center"/>
    </xf>
    <xf numFmtId="0" fontId="40" fillId="0" borderId="45" xfId="0" applyFont="1" applyBorder="1" applyAlignment="1">
      <alignment vertical="center"/>
    </xf>
    <xf numFmtId="0" fontId="43" fillId="0" borderId="118" xfId="0" applyFont="1" applyBorder="1" applyAlignment="1">
      <alignment vertical="center"/>
    </xf>
    <xf numFmtId="0" fontId="43" fillId="0" borderId="121" xfId="0" applyFont="1" applyBorder="1" applyAlignment="1">
      <alignment horizontal="center" vertical="center"/>
    </xf>
    <xf numFmtId="166" fontId="43" fillId="0" borderId="30" xfId="0" applyNumberFormat="1" applyFont="1" applyBorder="1"/>
    <xf numFmtId="1" fontId="40" fillId="0" borderId="0" xfId="0" applyNumberFormat="1" applyFont="1" applyProtection="1">
      <protection locked="0"/>
    </xf>
    <xf numFmtId="1" fontId="40" fillId="0" borderId="28" xfId="0" applyNumberFormat="1" applyFont="1" applyBorder="1" applyProtection="1">
      <protection locked="0"/>
    </xf>
    <xf numFmtId="0" fontId="43" fillId="0" borderId="96" xfId="0" applyFont="1" applyBorder="1"/>
    <xf numFmtId="1" fontId="76" fillId="0" borderId="67" xfId="0" applyNumberFormat="1" applyFont="1" applyBorder="1" applyAlignment="1" applyProtection="1">
      <alignment vertical="center"/>
      <protection locked="0"/>
    </xf>
    <xf numFmtId="166" fontId="43" fillId="0" borderId="28" xfId="0" applyNumberFormat="1" applyFont="1" applyBorder="1"/>
    <xf numFmtId="166" fontId="43" fillId="0" borderId="0" xfId="0" applyNumberFormat="1" applyFont="1" applyAlignment="1">
      <alignment horizontal="left"/>
    </xf>
    <xf numFmtId="0" fontId="69" fillId="0" borderId="109" xfId="0" applyFont="1" applyBorder="1" applyAlignment="1">
      <alignment horizontal="center" vertical="center"/>
    </xf>
    <xf numFmtId="0" fontId="43" fillId="0" borderId="139" xfId="0" applyFont="1" applyBorder="1" applyAlignment="1">
      <alignment horizontal="center" vertical="center" wrapText="1"/>
    </xf>
    <xf numFmtId="0" fontId="40" fillId="0" borderId="30" xfId="0" applyFont="1" applyBorder="1"/>
    <xf numFmtId="0" fontId="43" fillId="0" borderId="30" xfId="0" applyFont="1" applyBorder="1" applyAlignment="1">
      <alignment vertical="center"/>
    </xf>
    <xf numFmtId="0" fontId="3" fillId="0" borderId="20" xfId="0" applyFont="1" applyBorder="1" applyAlignment="1">
      <alignment horizontal="left"/>
    </xf>
    <xf numFmtId="0" fontId="7" fillId="0" borderId="100" xfId="0" applyFont="1" applyBorder="1" applyAlignment="1">
      <alignment horizontal="center"/>
    </xf>
    <xf numFmtId="0" fontId="4" fillId="0" borderId="95" xfId="0" applyFont="1" applyBorder="1" applyAlignment="1">
      <alignment vertical="center"/>
    </xf>
    <xf numFmtId="172" fontId="0" fillId="0" borderId="95" xfId="0" applyNumberFormat="1" applyBorder="1" applyAlignment="1">
      <alignment vertical="center"/>
    </xf>
    <xf numFmtId="172" fontId="0" fillId="0" borderId="28" xfId="0" applyNumberFormat="1" applyBorder="1" applyAlignment="1">
      <alignment vertical="center"/>
    </xf>
    <xf numFmtId="172" fontId="0" fillId="0" borderId="0" xfId="37" applyNumberFormat="1" applyFont="1" applyBorder="1" applyAlignment="1" applyProtection="1">
      <alignment horizontal="center" vertical="center"/>
    </xf>
    <xf numFmtId="0" fontId="4" fillId="0" borderId="17" xfId="0" applyFont="1" applyBorder="1" applyAlignment="1">
      <alignment vertical="center"/>
    </xf>
    <xf numFmtId="172" fontId="0" fillId="0" borderId="17" xfId="0" applyNumberFormat="1" applyBorder="1" applyAlignment="1">
      <alignment vertical="center"/>
    </xf>
    <xf numFmtId="0" fontId="55" fillId="0" borderId="17" xfId="0" applyFont="1" applyBorder="1" applyAlignment="1" applyProtection="1">
      <alignment vertical="center"/>
      <protection locked="0"/>
    </xf>
    <xf numFmtId="2" fontId="40" fillId="0" borderId="0" xfId="0" applyNumberFormat="1" applyFont="1" applyAlignment="1">
      <alignment vertical="center"/>
    </xf>
    <xf numFmtId="0" fontId="52" fillId="0" borderId="0" xfId="0" applyFont="1" applyAlignment="1">
      <alignment vertical="center"/>
    </xf>
    <xf numFmtId="1" fontId="40" fillId="0" borderId="0" xfId="0" applyNumberFormat="1" applyFont="1"/>
    <xf numFmtId="0" fontId="91" fillId="0" borderId="20" xfId="0" applyFont="1" applyBorder="1" applyAlignment="1">
      <alignment horizontal="center"/>
    </xf>
    <xf numFmtId="0" fontId="45" fillId="0" borderId="0" xfId="0" applyFont="1" applyAlignment="1">
      <alignment vertical="center"/>
    </xf>
    <xf numFmtId="0" fontId="48" fillId="9" borderId="0" xfId="0" applyFont="1" applyFill="1" applyAlignment="1">
      <alignment horizontal="center" vertical="center"/>
    </xf>
    <xf numFmtId="0" fontId="48" fillId="9" borderId="0" xfId="0" applyFont="1" applyFill="1" applyAlignment="1">
      <alignment horizontal="center" vertical="center" wrapText="1"/>
    </xf>
    <xf numFmtId="174" fontId="48" fillId="9" borderId="0" xfId="0" applyNumberFormat="1" applyFont="1" applyFill="1" applyAlignment="1">
      <alignment horizontal="center" vertical="center"/>
    </xf>
    <xf numFmtId="0" fontId="48" fillId="0" borderId="58" xfId="0" applyFont="1" applyBorder="1" applyAlignment="1">
      <alignment vertical="center"/>
    </xf>
    <xf numFmtId="0" fontId="40" fillId="0" borderId="58" xfId="0" applyFont="1" applyBorder="1" applyAlignment="1">
      <alignment horizontal="right" vertical="center"/>
    </xf>
    <xf numFmtId="0" fontId="43" fillId="0" borderId="145" xfId="0" applyFont="1" applyBorder="1" applyAlignment="1">
      <alignment horizontal="center" vertical="center" wrapText="1"/>
    </xf>
    <xf numFmtId="0" fontId="43" fillId="0" borderId="30" xfId="0" applyFont="1" applyBorder="1" applyAlignment="1">
      <alignment horizontal="center" vertical="center"/>
    </xf>
    <xf numFmtId="0" fontId="40" fillId="0" borderId="136" xfId="0" applyFont="1" applyBorder="1" applyAlignment="1">
      <alignment horizontal="right" vertical="center"/>
    </xf>
    <xf numFmtId="0" fontId="46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0" fontId="70" fillId="0" borderId="0" xfId="0" applyFont="1" applyAlignment="1">
      <alignment horizontal="left" vertic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0" fontId="98" fillId="0" borderId="0" xfId="0" applyFont="1"/>
    <xf numFmtId="0" fontId="75" fillId="0" borderId="0" xfId="0" quotePrefix="1" applyFont="1" applyAlignment="1">
      <alignment horizontal="left" vertical="center"/>
    </xf>
    <xf numFmtId="166" fontId="75" fillId="0" borderId="0" xfId="0" applyNumberFormat="1" applyFont="1"/>
    <xf numFmtId="14" fontId="41" fillId="0" borderId="0" xfId="0" quotePrefix="1" applyNumberFormat="1" applyFont="1" applyAlignment="1">
      <alignment horizontal="left" vertical="center"/>
    </xf>
    <xf numFmtId="14" fontId="41" fillId="0" borderId="0" xfId="0" applyNumberFormat="1" applyFont="1" applyAlignment="1">
      <alignment horizontal="right"/>
    </xf>
    <xf numFmtId="14" fontId="41" fillId="0" borderId="0" xfId="0" applyNumberFormat="1" applyFont="1" applyAlignment="1">
      <alignment horizontal="left"/>
    </xf>
    <xf numFmtId="14" fontId="41" fillId="0" borderId="0" xfId="0" quotePrefix="1" applyNumberFormat="1" applyFont="1" applyAlignment="1">
      <alignment vertical="center"/>
    </xf>
    <xf numFmtId="14" fontId="41" fillId="0" borderId="0" xfId="0" applyNumberFormat="1" applyFont="1" applyAlignment="1">
      <alignment horizontal="right" vertical="center"/>
    </xf>
    <xf numFmtId="14" fontId="41" fillId="0" borderId="0" xfId="0" applyNumberFormat="1" applyFont="1" applyAlignment="1">
      <alignment horizontal="left" vertical="center"/>
    </xf>
    <xf numFmtId="14" fontId="41" fillId="9" borderId="0" xfId="0" applyNumberFormat="1" applyFont="1" applyFill="1" applyAlignment="1">
      <alignment horizontal="left"/>
    </xf>
    <xf numFmtId="14" fontId="41" fillId="9" borderId="0" xfId="0" quotePrefix="1" applyNumberFormat="1" applyFont="1" applyFill="1" applyAlignment="1">
      <alignment horizontal="right" vertical="center"/>
    </xf>
    <xf numFmtId="0" fontId="69" fillId="0" borderId="2" xfId="0" applyFont="1" applyBorder="1" applyAlignment="1">
      <alignment horizontal="center" vertical="center"/>
    </xf>
    <xf numFmtId="0" fontId="69" fillId="0" borderId="149" xfId="0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 wrapText="1"/>
    </xf>
    <xf numFmtId="166" fontId="76" fillId="3" borderId="1" xfId="0" applyNumberFormat="1" applyFont="1" applyFill="1" applyBorder="1" applyAlignment="1">
      <alignment vertical="center"/>
    </xf>
    <xf numFmtId="0" fontId="69" fillId="0" borderId="0" xfId="0" applyFont="1" applyAlignment="1">
      <alignment horizontal="right" vertical="center"/>
    </xf>
    <xf numFmtId="0" fontId="69" fillId="3" borderId="0" xfId="0" applyFont="1" applyFill="1" applyAlignment="1">
      <alignment vertical="center"/>
    </xf>
    <xf numFmtId="0" fontId="40" fillId="3" borderId="20" xfId="0" applyFont="1" applyFill="1" applyBorder="1" applyAlignment="1">
      <alignment vertical="center"/>
    </xf>
    <xf numFmtId="44" fontId="75" fillId="0" borderId="0" xfId="0" applyNumberFormat="1" applyFont="1" applyAlignment="1">
      <alignment horizontal="center" vertical="center"/>
    </xf>
    <xf numFmtId="0" fontId="75" fillId="3" borderId="0" xfId="0" applyFont="1" applyFill="1"/>
    <xf numFmtId="0" fontId="99" fillId="0" borderId="0" xfId="0" applyFont="1" applyAlignment="1">
      <alignment horizontal="center"/>
    </xf>
    <xf numFmtId="2" fontId="100" fillId="0" borderId="0" xfId="0" applyNumberFormat="1" applyFont="1" applyAlignment="1">
      <alignment horizontal="center" vertical="center"/>
    </xf>
    <xf numFmtId="0" fontId="102" fillId="0" borderId="0" xfId="0" applyFont="1"/>
    <xf numFmtId="166" fontId="101" fillId="0" borderId="0" xfId="0" applyNumberFormat="1" applyFont="1" applyAlignment="1">
      <alignment horizontal="center" vertical="center"/>
    </xf>
    <xf numFmtId="2" fontId="101" fillId="0" borderId="0" xfId="0" applyNumberFormat="1" applyFont="1" applyAlignment="1">
      <alignment horizontal="left" vertical="center"/>
    </xf>
    <xf numFmtId="0" fontId="103" fillId="0" borderId="0" xfId="0" applyFont="1" applyAlignment="1">
      <alignment vertical="center"/>
    </xf>
    <xf numFmtId="2" fontId="99" fillId="0" borderId="67" xfId="0" applyNumberFormat="1" applyFont="1" applyBorder="1" applyAlignment="1">
      <alignment horizontal="center" vertical="center"/>
    </xf>
    <xf numFmtId="0" fontId="104" fillId="0" borderId="0" xfId="0" applyFont="1" applyAlignment="1">
      <alignment vertical="center"/>
    </xf>
    <xf numFmtId="0" fontId="41" fillId="0" borderId="97" xfId="0" applyFont="1" applyBorder="1"/>
    <xf numFmtId="43" fontId="40" fillId="0" borderId="58" xfId="40" applyFont="1" applyFill="1" applyBorder="1" applyProtection="1"/>
    <xf numFmtId="0" fontId="1" fillId="0" borderId="43" xfId="38" applyFont="1" applyBorder="1" applyAlignment="1" applyProtection="1">
      <alignment horizontal="left" vertical="center"/>
      <protection locked="0"/>
    </xf>
    <xf numFmtId="0" fontId="1" fillId="0" borderId="45" xfId="38" applyFont="1" applyBorder="1" applyAlignment="1" applyProtection="1">
      <alignment horizontal="left" vertical="center"/>
      <protection locked="0"/>
    </xf>
    <xf numFmtId="0" fontId="1" fillId="0" borderId="118" xfId="38" applyFont="1" applyBorder="1" applyAlignment="1" applyProtection="1">
      <alignment horizontal="center" vertical="center"/>
      <protection locked="0"/>
    </xf>
    <xf numFmtId="0" fontId="1" fillId="0" borderId="65" xfId="38" applyFont="1" applyBorder="1" applyAlignment="1" applyProtection="1">
      <alignment horizontal="center" vertical="center"/>
      <protection locked="0"/>
    </xf>
    <xf numFmtId="0" fontId="2" fillId="0" borderId="43" xfId="38" applyBorder="1" applyAlignment="1" applyProtection="1">
      <alignment horizontal="center" vertical="center"/>
      <protection locked="0"/>
    </xf>
    <xf numFmtId="0" fontId="2" fillId="0" borderId="45" xfId="38" applyBorder="1" applyAlignment="1" applyProtection="1">
      <alignment horizontal="center" vertical="center"/>
      <protection locked="0"/>
    </xf>
    <xf numFmtId="0" fontId="2" fillId="0" borderId="119" xfId="38" applyBorder="1" applyAlignment="1" applyProtection="1">
      <alignment horizontal="center" vertical="center"/>
      <protection locked="0"/>
    </xf>
    <xf numFmtId="0" fontId="2" fillId="0" borderId="97" xfId="38" applyBorder="1" applyAlignment="1" applyProtection="1">
      <alignment horizontal="left" vertical="center"/>
      <protection locked="0"/>
    </xf>
    <xf numFmtId="0" fontId="2" fillId="0" borderId="120" xfId="38" applyBorder="1" applyAlignment="1" applyProtection="1">
      <alignment horizontal="center" vertical="center"/>
      <protection locked="0"/>
    </xf>
    <xf numFmtId="0" fontId="2" fillId="0" borderId="111" xfId="38" applyBorder="1" applyAlignment="1" applyProtection="1">
      <alignment horizontal="center" vertical="center"/>
      <protection locked="0"/>
    </xf>
    <xf numFmtId="0" fontId="3" fillId="0" borderId="0" xfId="38" applyFont="1" applyAlignment="1">
      <alignment horizontal="right"/>
    </xf>
    <xf numFmtId="0" fontId="40" fillId="0" borderId="100" xfId="0" applyFont="1" applyBorder="1" applyAlignment="1">
      <alignment horizontal="center"/>
    </xf>
    <xf numFmtId="0" fontId="77" fillId="4" borderId="76" xfId="0" applyFont="1" applyFill="1" applyBorder="1" applyProtection="1">
      <protection locked="0"/>
    </xf>
    <xf numFmtId="0" fontId="69" fillId="0" borderId="56" xfId="0" applyFont="1" applyBorder="1"/>
    <xf numFmtId="0" fontId="43" fillId="0" borderId="0" xfId="0" applyFont="1" applyAlignment="1">
      <alignment horizontal="center" vertical="center"/>
    </xf>
    <xf numFmtId="175" fontId="75" fillId="0" borderId="0" xfId="0" applyNumberFormat="1" applyFont="1" applyAlignment="1">
      <alignment vertical="center"/>
    </xf>
    <xf numFmtId="0" fontId="74" fillId="0" borderId="11" xfId="0" applyFont="1" applyBorder="1" applyAlignment="1">
      <alignment vertical="center"/>
    </xf>
    <xf numFmtId="0" fontId="74" fillId="0" borderId="11" xfId="0" applyFont="1" applyBorder="1" applyAlignment="1">
      <alignment horizontal="right"/>
    </xf>
    <xf numFmtId="44" fontId="74" fillId="0" borderId="29" xfId="0" applyNumberFormat="1" applyFont="1" applyBorder="1" applyAlignment="1">
      <alignment vertical="center"/>
    </xf>
    <xf numFmtId="44" fontId="71" fillId="0" borderId="23" xfId="0" applyNumberFormat="1" applyFont="1" applyBorder="1" applyAlignment="1">
      <alignment vertical="center"/>
    </xf>
    <xf numFmtId="44" fontId="71" fillId="0" borderId="25" xfId="0" applyNumberFormat="1" applyFont="1" applyBorder="1" applyAlignment="1">
      <alignment vertical="center"/>
    </xf>
    <xf numFmtId="0" fontId="43" fillId="0" borderId="146" xfId="0" applyFont="1" applyBorder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44" fontId="43" fillId="0" borderId="24" xfId="0" applyNumberFormat="1" applyFont="1" applyBorder="1" applyAlignment="1">
      <alignment vertical="center"/>
    </xf>
    <xf numFmtId="166" fontId="4" fillId="0" borderId="0" xfId="0" applyNumberFormat="1" applyFont="1"/>
    <xf numFmtId="0" fontId="75" fillId="4" borderId="14" xfId="0" applyFont="1" applyFill="1" applyBorder="1"/>
    <xf numFmtId="0" fontId="69" fillId="0" borderId="35" xfId="0" applyFont="1" applyBorder="1" applyAlignment="1">
      <alignment horizontal="center" vertical="center" wrapText="1"/>
    </xf>
    <xf numFmtId="44" fontId="71" fillId="0" borderId="32" xfId="0" applyNumberFormat="1" applyFont="1" applyBorder="1" applyAlignment="1">
      <alignment horizontal="center" vertical="center"/>
    </xf>
    <xf numFmtId="0" fontId="69" fillId="0" borderId="37" xfId="0" applyFont="1" applyBorder="1" applyAlignment="1">
      <alignment horizontal="center" vertical="center" wrapText="1"/>
    </xf>
    <xf numFmtId="0" fontId="69" fillId="4" borderId="23" xfId="0" applyFont="1" applyFill="1" applyBorder="1" applyAlignment="1" applyProtection="1">
      <alignment horizontal="left" vertical="center"/>
      <protection locked="0"/>
    </xf>
    <xf numFmtId="0" fontId="69" fillId="4" borderId="25" xfId="0" applyFont="1" applyFill="1" applyBorder="1" applyAlignment="1" applyProtection="1">
      <alignment horizontal="center" vertical="center"/>
      <protection locked="0"/>
    </xf>
    <xf numFmtId="169" fontId="69" fillId="4" borderId="40" xfId="0" applyNumberFormat="1" applyFont="1" applyFill="1" applyBorder="1" applyAlignment="1" applyProtection="1">
      <alignment vertical="center"/>
      <protection locked="0"/>
    </xf>
    <xf numFmtId="169" fontId="69" fillId="4" borderId="41" xfId="0" applyNumberFormat="1" applyFont="1" applyFill="1" applyBorder="1" applyAlignment="1" applyProtection="1">
      <alignment vertical="center"/>
      <protection locked="0"/>
    </xf>
    <xf numFmtId="0" fontId="69" fillId="4" borderId="122" xfId="0" applyFont="1" applyFill="1" applyBorder="1" applyAlignment="1" applyProtection="1">
      <alignment horizontal="left" vertical="center"/>
      <protection locked="0"/>
    </xf>
    <xf numFmtId="169" fontId="69" fillId="4" borderId="42" xfId="0" applyNumberFormat="1" applyFont="1" applyFill="1" applyBorder="1" applyAlignment="1" applyProtection="1">
      <alignment vertical="center"/>
      <protection locked="0"/>
    </xf>
    <xf numFmtId="0" fontId="74" fillId="4" borderId="134" xfId="0" applyFont="1" applyFill="1" applyBorder="1" applyAlignment="1" applyProtection="1">
      <alignment horizontal="center" vertical="center"/>
      <protection locked="0"/>
    </xf>
    <xf numFmtId="1" fontId="40" fillId="4" borderId="123" xfId="0" applyNumberFormat="1" applyFont="1" applyFill="1" applyBorder="1" applyAlignment="1" applyProtection="1">
      <alignment vertical="center"/>
      <protection locked="0"/>
    </xf>
    <xf numFmtId="1" fontId="40" fillId="4" borderId="135" xfId="0" applyNumberFormat="1" applyFont="1" applyFill="1" applyBorder="1" applyAlignment="1" applyProtection="1">
      <alignment vertical="center"/>
      <protection locked="0"/>
    </xf>
    <xf numFmtId="0" fontId="40" fillId="4" borderId="136" xfId="0" applyFont="1" applyFill="1" applyBorder="1" applyAlignment="1" applyProtection="1">
      <alignment vertical="center"/>
      <protection locked="0"/>
    </xf>
    <xf numFmtId="44" fontId="47" fillId="4" borderId="32" xfId="0" applyNumberFormat="1" applyFont="1" applyFill="1" applyBorder="1" applyAlignment="1" applyProtection="1">
      <alignment horizontal="center" vertical="center" wrapText="1"/>
      <protection locked="0"/>
    </xf>
    <xf numFmtId="170" fontId="71" fillId="4" borderId="32" xfId="0" applyNumberFormat="1" applyFont="1" applyFill="1" applyBorder="1" applyAlignment="1" applyProtection="1">
      <alignment horizontal="center" vertical="center"/>
      <protection locked="0"/>
    </xf>
    <xf numFmtId="170" fontId="71" fillId="4" borderId="23" xfId="0" applyNumberFormat="1" applyFont="1" applyFill="1" applyBorder="1" applyAlignment="1" applyProtection="1">
      <alignment horizontal="center" vertical="center"/>
      <protection locked="0"/>
    </xf>
    <xf numFmtId="0" fontId="71" fillId="4" borderId="27" xfId="0" applyFont="1" applyFill="1" applyBorder="1" applyAlignment="1" applyProtection="1">
      <alignment vertical="center"/>
      <protection locked="0"/>
    </xf>
    <xf numFmtId="0" fontId="69" fillId="4" borderId="23" xfId="0" applyFont="1" applyFill="1" applyBorder="1" applyAlignment="1" applyProtection="1">
      <alignment horizontal="left" vertical="center" wrapText="1"/>
      <protection locked="0"/>
    </xf>
    <xf numFmtId="44" fontId="40" fillId="0" borderId="0" xfId="0" applyNumberFormat="1" applyFont="1" applyAlignment="1">
      <alignment horizontal="center" vertical="center"/>
    </xf>
    <xf numFmtId="170" fontId="69" fillId="4" borderId="32" xfId="0" applyNumberFormat="1" applyFont="1" applyFill="1" applyBorder="1" applyAlignment="1" applyProtection="1">
      <alignment horizontal="center" vertical="center" wrapText="1"/>
      <protection locked="0"/>
    </xf>
    <xf numFmtId="170" fontId="69" fillId="4" borderId="69" xfId="0" applyNumberFormat="1" applyFont="1" applyFill="1" applyBorder="1" applyAlignment="1" applyProtection="1">
      <alignment horizontal="center" vertical="center" wrapText="1"/>
      <protection locked="0"/>
    </xf>
    <xf numFmtId="0" fontId="69" fillId="0" borderId="152" xfId="0" applyFont="1" applyBorder="1" applyAlignment="1">
      <alignment horizontal="center" vertical="center"/>
    </xf>
    <xf numFmtId="0" fontId="105" fillId="0" borderId="0" xfId="0" applyFont="1" applyAlignment="1">
      <alignment vertical="center"/>
    </xf>
    <xf numFmtId="0" fontId="70" fillId="0" borderId="0" xfId="0" applyFont="1" applyAlignment="1">
      <alignment vertical="center"/>
    </xf>
    <xf numFmtId="0" fontId="69" fillId="0" borderId="51" xfId="0" applyFont="1" applyBorder="1" applyAlignment="1">
      <alignment horizontal="center" vertical="center" wrapText="1"/>
    </xf>
    <xf numFmtId="0" fontId="40" fillId="0" borderId="36" xfId="0" applyFont="1" applyBorder="1" applyAlignment="1">
      <alignment vertical="center"/>
    </xf>
    <xf numFmtId="169" fontId="69" fillId="4" borderId="155" xfId="0" applyNumberFormat="1" applyFont="1" applyFill="1" applyBorder="1" applyAlignment="1" applyProtection="1">
      <alignment vertical="center"/>
      <protection locked="0"/>
    </xf>
    <xf numFmtId="169" fontId="69" fillId="4" borderId="154" xfId="0" applyNumberFormat="1" applyFont="1" applyFill="1" applyBorder="1" applyAlignment="1" applyProtection="1">
      <alignment vertical="center"/>
      <protection locked="0"/>
    </xf>
    <xf numFmtId="169" fontId="69" fillId="4" borderId="156" xfId="0" applyNumberFormat="1" applyFont="1" applyFill="1" applyBorder="1" applyAlignment="1" applyProtection="1">
      <alignment vertical="center"/>
      <protection locked="0"/>
    </xf>
    <xf numFmtId="169" fontId="69" fillId="4" borderId="157" xfId="0" applyNumberFormat="1" applyFont="1" applyFill="1" applyBorder="1" applyAlignment="1" applyProtection="1">
      <alignment vertical="center"/>
      <protection locked="0"/>
    </xf>
    <xf numFmtId="0" fontId="69" fillId="0" borderId="34" xfId="0" applyFont="1" applyBorder="1" applyAlignment="1">
      <alignment horizontal="center" vertical="center" wrapText="1"/>
    </xf>
    <xf numFmtId="0" fontId="71" fillId="3" borderId="0" xfId="0" applyFont="1" applyFill="1" applyAlignment="1">
      <alignment vertical="center"/>
    </xf>
    <xf numFmtId="0" fontId="12" fillId="0" borderId="0" xfId="39"/>
    <xf numFmtId="0" fontId="69" fillId="4" borderId="158" xfId="0" applyFont="1" applyFill="1" applyBorder="1" applyAlignment="1" applyProtection="1">
      <alignment horizontal="center" vertical="center"/>
      <protection locked="0"/>
    </xf>
    <xf numFmtId="0" fontId="43" fillId="0" borderId="101" xfId="0" applyFont="1" applyBorder="1" applyAlignment="1">
      <alignment horizontal="center" vertical="center"/>
    </xf>
    <xf numFmtId="0" fontId="69" fillId="4" borderId="69" xfId="0" applyFont="1" applyFill="1" applyBorder="1" applyAlignment="1" applyProtection="1">
      <alignment horizontal="left" vertical="center" wrapText="1"/>
      <protection locked="0"/>
    </xf>
    <xf numFmtId="0" fontId="69" fillId="4" borderId="148" xfId="0" applyFont="1" applyFill="1" applyBorder="1" applyAlignment="1" applyProtection="1">
      <alignment horizontal="left" vertical="center" wrapText="1"/>
      <protection locked="0"/>
    </xf>
    <xf numFmtId="0" fontId="69" fillId="0" borderId="36" xfId="0" applyFont="1" applyBorder="1" applyAlignment="1">
      <alignment horizontal="center" vertical="center" wrapText="1"/>
    </xf>
    <xf numFmtId="44" fontId="43" fillId="0" borderId="159" xfId="0" applyNumberFormat="1" applyFont="1" applyBorder="1" applyAlignment="1">
      <alignment vertical="center"/>
    </xf>
    <xf numFmtId="44" fontId="74" fillId="0" borderId="12" xfId="0" applyNumberFormat="1" applyFont="1" applyBorder="1" applyAlignment="1">
      <alignment vertical="center"/>
    </xf>
    <xf numFmtId="0" fontId="74" fillId="0" borderId="30" xfId="0" applyFont="1" applyBorder="1" applyAlignment="1">
      <alignment vertical="center"/>
    </xf>
    <xf numFmtId="0" fontId="74" fillId="0" borderId="30" xfId="0" applyFont="1" applyBorder="1" applyAlignment="1">
      <alignment horizontal="right"/>
    </xf>
    <xf numFmtId="44" fontId="74" fillId="0" borderId="94" xfId="0" applyNumberFormat="1" applyFont="1" applyBorder="1" applyAlignment="1">
      <alignment vertical="center"/>
    </xf>
    <xf numFmtId="0" fontId="75" fillId="0" borderId="20" xfId="0" applyFont="1" applyBorder="1" applyAlignment="1">
      <alignment vertical="center"/>
    </xf>
    <xf numFmtId="0" fontId="55" fillId="0" borderId="0" xfId="0" applyFont="1" applyAlignment="1" applyProtection="1">
      <alignment vertical="center"/>
      <protection locked="0"/>
    </xf>
    <xf numFmtId="169" fontId="69" fillId="4" borderId="154" xfId="0" applyNumberFormat="1" applyFont="1" applyFill="1" applyBorder="1" applyAlignment="1" applyProtection="1">
      <alignment horizontal="center" vertical="center"/>
      <protection locked="0"/>
    </xf>
    <xf numFmtId="169" fontId="69" fillId="4" borderId="156" xfId="0" applyNumberFormat="1" applyFont="1" applyFill="1" applyBorder="1" applyAlignment="1" applyProtection="1">
      <alignment horizontal="center" vertical="center"/>
      <protection locked="0"/>
    </xf>
    <xf numFmtId="169" fontId="69" fillId="4" borderId="160" xfId="0" applyNumberFormat="1" applyFont="1" applyFill="1" applyBorder="1" applyAlignment="1" applyProtection="1">
      <alignment horizontal="center" vertical="center"/>
      <protection locked="0"/>
    </xf>
    <xf numFmtId="0" fontId="55" fillId="0" borderId="14" xfId="0" applyFont="1" applyBorder="1" applyAlignment="1" applyProtection="1">
      <alignment vertical="center"/>
      <protection locked="0"/>
    </xf>
    <xf numFmtId="0" fontId="70" fillId="4" borderId="17" xfId="0" applyFont="1" applyFill="1" applyBorder="1" applyAlignment="1">
      <alignment vertical="center"/>
    </xf>
    <xf numFmtId="0" fontId="43" fillId="0" borderId="147" xfId="0" applyFont="1" applyBorder="1" applyAlignment="1">
      <alignment horizontal="center" vertical="center"/>
    </xf>
    <xf numFmtId="166" fontId="76" fillId="3" borderId="3" xfId="0" applyNumberFormat="1" applyFont="1" applyFill="1" applyBorder="1"/>
    <xf numFmtId="0" fontId="92" fillId="0" borderId="0" xfId="0" applyFont="1"/>
    <xf numFmtId="0" fontId="71" fillId="0" borderId="0" xfId="0" applyFont="1"/>
    <xf numFmtId="0" fontId="4" fillId="0" borderId="0" xfId="41"/>
    <xf numFmtId="0" fontId="107" fillId="0" borderId="0" xfId="41" applyFont="1" applyAlignment="1">
      <alignment vertical="center"/>
    </xf>
    <xf numFmtId="0" fontId="66" fillId="0" borderId="0" xfId="41" applyFont="1" applyAlignment="1">
      <alignment vertical="center"/>
    </xf>
    <xf numFmtId="0" fontId="67" fillId="0" borderId="0" xfId="41" applyFont="1" applyAlignment="1">
      <alignment horizontal="left" vertical="top" wrapText="1"/>
    </xf>
    <xf numFmtId="0" fontId="67" fillId="0" borderId="0" xfId="41" applyFont="1" applyAlignment="1">
      <alignment horizontal="right" vertical="top" wrapText="1"/>
    </xf>
    <xf numFmtId="1" fontId="67" fillId="4" borderId="82" xfId="41" applyNumberFormat="1" applyFont="1" applyFill="1" applyBorder="1" applyAlignment="1" applyProtection="1">
      <alignment horizontal="center" vertical="top" wrapText="1"/>
      <protection locked="0"/>
    </xf>
    <xf numFmtId="166" fontId="67" fillId="4" borderId="82" xfId="41" applyNumberFormat="1" applyFont="1" applyFill="1" applyBorder="1" applyAlignment="1" applyProtection="1">
      <alignment horizontal="center" vertical="top" wrapText="1"/>
      <protection locked="0"/>
    </xf>
    <xf numFmtId="0" fontId="108" fillId="0" borderId="0" xfId="41" applyFont="1" applyAlignment="1">
      <alignment vertical="center"/>
    </xf>
    <xf numFmtId="0" fontId="109" fillId="0" borderId="0" xfId="41" applyFont="1" applyAlignment="1">
      <alignment vertical="center"/>
    </xf>
    <xf numFmtId="0" fontId="74" fillId="4" borderId="82" xfId="41" applyFont="1" applyFill="1" applyBorder="1" applyAlignment="1">
      <alignment horizontal="center" vertical="center"/>
    </xf>
    <xf numFmtId="0" fontId="74" fillId="0" borderId="0" xfId="0" applyFont="1" applyAlignment="1">
      <alignment vertical="center"/>
    </xf>
    <xf numFmtId="44" fontId="74" fillId="0" borderId="0" xfId="0" applyNumberFormat="1" applyFont="1" applyAlignment="1">
      <alignment vertical="center"/>
    </xf>
    <xf numFmtId="44" fontId="110" fillId="0" borderId="0" xfId="0" applyNumberFormat="1" applyFont="1" applyAlignment="1">
      <alignment vertical="center"/>
    </xf>
    <xf numFmtId="0" fontId="43" fillId="0" borderId="0" xfId="0" applyFont="1" applyAlignment="1">
      <alignment horizontal="right" vertical="center"/>
    </xf>
    <xf numFmtId="44" fontId="43" fillId="0" borderId="0" xfId="0" applyNumberFormat="1" applyFont="1" applyAlignment="1">
      <alignment vertical="center"/>
    </xf>
    <xf numFmtId="2" fontId="43" fillId="0" borderId="0" xfId="0" applyNumberFormat="1" applyFont="1" applyAlignment="1">
      <alignment vertical="center"/>
    </xf>
    <xf numFmtId="0" fontId="76" fillId="4" borderId="130" xfId="0" applyFont="1" applyFill="1" applyBorder="1" applyAlignment="1" applyProtection="1">
      <alignment horizontal="left" vertical="center"/>
      <protection locked="0"/>
    </xf>
    <xf numFmtId="0" fontId="40" fillId="0" borderId="56" xfId="0" applyFont="1" applyBorder="1" applyProtection="1">
      <protection locked="0"/>
    </xf>
    <xf numFmtId="0" fontId="48" fillId="0" borderId="125" xfId="0" applyFont="1" applyBorder="1" applyAlignment="1">
      <alignment horizontal="left" vertical="center"/>
    </xf>
    <xf numFmtId="0" fontId="40" fillId="0" borderId="125" xfId="0" applyFont="1" applyBorder="1"/>
    <xf numFmtId="0" fontId="40" fillId="0" borderId="80" xfId="0" applyFont="1" applyBorder="1"/>
    <xf numFmtId="0" fontId="76" fillId="4" borderId="2" xfId="0" applyFont="1" applyFill="1" applyBorder="1" applyAlignment="1" applyProtection="1">
      <alignment horizontal="left"/>
      <protection locked="0"/>
    </xf>
    <xf numFmtId="0" fontId="76" fillId="4" borderId="3" xfId="0" applyFont="1" applyFill="1" applyBorder="1" applyAlignment="1" applyProtection="1">
      <alignment horizontal="left"/>
      <protection locked="0"/>
    </xf>
    <xf numFmtId="166" fontId="76" fillId="4" borderId="1" xfId="0" applyNumberFormat="1" applyFont="1" applyFill="1" applyBorder="1" applyAlignment="1" applyProtection="1">
      <alignment horizontal="right" vertical="center"/>
      <protection locked="0"/>
    </xf>
    <xf numFmtId="166" fontId="77" fillId="4" borderId="3" xfId="0" applyNumberFormat="1" applyFont="1" applyFill="1" applyBorder="1" applyAlignment="1" applyProtection="1">
      <alignment horizontal="right"/>
      <protection locked="0"/>
    </xf>
    <xf numFmtId="0" fontId="85" fillId="0" borderId="52" xfId="0" applyFont="1" applyBorder="1" applyAlignment="1">
      <alignment horizontal="left" vertical="top"/>
    </xf>
    <xf numFmtId="0" fontId="85" fillId="0" borderId="53" xfId="0" applyFont="1" applyBorder="1" applyAlignment="1">
      <alignment horizontal="left" vertical="top"/>
    </xf>
    <xf numFmtId="0" fontId="85" fillId="0" borderId="61" xfId="0" applyFont="1" applyBorder="1" applyAlignment="1">
      <alignment horizontal="left" vertical="top"/>
    </xf>
    <xf numFmtId="0" fontId="85" fillId="0" borderId="67" xfId="0" applyFont="1" applyBorder="1" applyAlignment="1">
      <alignment horizontal="center" vertical="top"/>
    </xf>
    <xf numFmtId="0" fontId="85" fillId="0" borderId="0" xfId="0" applyFont="1" applyAlignment="1">
      <alignment horizontal="center" vertical="top"/>
    </xf>
    <xf numFmtId="0" fontId="85" fillId="0" borderId="63" xfId="0" applyFont="1" applyBorder="1" applyAlignment="1">
      <alignment horizontal="center" vertical="top"/>
    </xf>
    <xf numFmtId="0" fontId="77" fillId="4" borderId="54" xfId="0" applyFont="1" applyFill="1" applyBorder="1" applyAlignment="1" applyProtection="1">
      <alignment horizontal="left" vertical="center"/>
      <protection locked="0"/>
    </xf>
    <xf numFmtId="0" fontId="77" fillId="4" borderId="20" xfId="0" applyFont="1" applyFill="1" applyBorder="1" applyAlignment="1" applyProtection="1">
      <alignment horizontal="left" vertical="center"/>
      <protection locked="0"/>
    </xf>
    <xf numFmtId="0" fontId="77" fillId="4" borderId="55" xfId="0" applyFont="1" applyFill="1" applyBorder="1" applyAlignment="1" applyProtection="1">
      <alignment horizontal="left" vertical="center"/>
      <protection locked="0"/>
    </xf>
    <xf numFmtId="0" fontId="73" fillId="4" borderId="0" xfId="0" applyFont="1" applyFill="1" applyAlignment="1">
      <alignment horizontal="center" vertical="center"/>
    </xf>
    <xf numFmtId="0" fontId="96" fillId="4" borderId="0" xfId="0" applyFont="1" applyFill="1" applyAlignment="1">
      <alignment vertical="center"/>
    </xf>
    <xf numFmtId="0" fontId="76" fillId="4" borderId="82" xfId="0" applyFont="1" applyFill="1" applyBorder="1" applyAlignment="1" applyProtection="1">
      <alignment horizontal="left" vertical="center"/>
      <protection locked="0"/>
    </xf>
    <xf numFmtId="0" fontId="77" fillId="0" borderId="82" xfId="0" applyFont="1" applyBorder="1" applyProtection="1">
      <protection locked="0"/>
    </xf>
    <xf numFmtId="0" fontId="77" fillId="0" borderId="83" xfId="0" applyFont="1" applyBorder="1" applyProtection="1">
      <protection locked="0"/>
    </xf>
    <xf numFmtId="0" fontId="48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4" fillId="0" borderId="63" xfId="0" applyFont="1" applyBorder="1" applyAlignment="1">
      <alignment horizontal="right"/>
    </xf>
    <xf numFmtId="0" fontId="79" fillId="0" borderId="0" xfId="0" applyFont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83" fillId="0" borderId="0" xfId="0" applyFont="1" applyAlignment="1">
      <alignment horizontal="left"/>
    </xf>
    <xf numFmtId="0" fontId="40" fillId="0" borderId="0" xfId="0" applyFont="1"/>
    <xf numFmtId="1" fontId="76" fillId="4" borderId="1" xfId="0" applyNumberFormat="1" applyFont="1" applyFill="1" applyBorder="1" applyAlignment="1" applyProtection="1">
      <alignment horizontal="center" vertical="center"/>
      <protection locked="0"/>
    </xf>
    <xf numFmtId="1" fontId="76" fillId="4" borderId="2" xfId="0" applyNumberFormat="1" applyFont="1" applyFill="1" applyBorder="1" applyAlignment="1" applyProtection="1">
      <alignment horizontal="center" vertical="center"/>
      <protection locked="0"/>
    </xf>
    <xf numFmtId="1" fontId="76" fillId="4" borderId="3" xfId="0" applyNumberFormat="1" applyFont="1" applyFill="1" applyBorder="1" applyAlignment="1" applyProtection="1">
      <alignment horizontal="center" vertical="center"/>
      <protection locked="0"/>
    </xf>
    <xf numFmtId="166" fontId="76" fillId="3" borderId="1" xfId="0" applyNumberFormat="1" applyFont="1" applyFill="1" applyBorder="1" applyAlignment="1">
      <alignment horizontal="right" vertical="center"/>
    </xf>
    <xf numFmtId="166" fontId="77" fillId="3" borderId="3" xfId="0" applyNumberFormat="1" applyFont="1" applyFill="1" applyBorder="1" applyAlignment="1">
      <alignment horizontal="right"/>
    </xf>
    <xf numFmtId="0" fontId="90" fillId="0" borderId="0" xfId="0" applyFont="1" applyAlignment="1">
      <alignment horizontal="center"/>
    </xf>
    <xf numFmtId="0" fontId="76" fillId="0" borderId="64" xfId="0" applyFont="1" applyBorder="1" applyAlignment="1">
      <alignment horizontal="center"/>
    </xf>
    <xf numFmtId="0" fontId="76" fillId="0" borderId="59" xfId="0" applyFont="1" applyBorder="1" applyAlignment="1">
      <alignment horizontal="center"/>
    </xf>
    <xf numFmtId="0" fontId="76" fillId="0" borderId="78" xfId="0" applyFont="1" applyBorder="1" applyAlignment="1">
      <alignment horizontal="center"/>
    </xf>
    <xf numFmtId="0" fontId="52" fillId="0" borderId="53" xfId="0" applyFont="1" applyBorder="1" applyAlignment="1">
      <alignment horizontal="center"/>
    </xf>
    <xf numFmtId="0" fontId="77" fillId="0" borderId="0" xfId="0" applyFont="1" applyAlignment="1">
      <alignment horizontal="center"/>
    </xf>
    <xf numFmtId="0" fontId="78" fillId="0" borderId="0" xfId="0" applyFont="1" applyAlignment="1">
      <alignment horizontal="center"/>
    </xf>
    <xf numFmtId="0" fontId="89" fillId="4" borderId="67" xfId="0" applyFont="1" applyFill="1" applyBorder="1" applyAlignment="1">
      <alignment horizontal="center"/>
    </xf>
    <xf numFmtId="0" fontId="89" fillId="4" borderId="0" xfId="0" applyFont="1" applyFill="1" applyAlignment="1">
      <alignment horizontal="center"/>
    </xf>
    <xf numFmtId="0" fontId="89" fillId="4" borderId="63" xfId="0" applyFont="1" applyFill="1" applyBorder="1" applyAlignment="1">
      <alignment horizontal="center"/>
    </xf>
    <xf numFmtId="0" fontId="89" fillId="4" borderId="62" xfId="0" applyFont="1" applyFill="1" applyBorder="1" applyAlignment="1">
      <alignment horizontal="center"/>
    </xf>
    <xf numFmtId="0" fontId="89" fillId="4" borderId="25" xfId="0" applyFont="1" applyFill="1" applyBorder="1" applyAlignment="1">
      <alignment horizontal="center"/>
    </xf>
    <xf numFmtId="0" fontId="89" fillId="4" borderId="23" xfId="0" applyFont="1" applyFill="1" applyBorder="1" applyAlignment="1">
      <alignment horizontal="center"/>
    </xf>
    <xf numFmtId="0" fontId="47" fillId="4" borderId="52" xfId="0" applyFont="1" applyFill="1" applyBorder="1" applyAlignment="1" applyProtection="1">
      <alignment horizontal="center"/>
      <protection locked="0"/>
    </xf>
    <xf numFmtId="0" fontId="47" fillId="4" borderId="53" xfId="0" applyFont="1" applyFill="1" applyBorder="1" applyAlignment="1" applyProtection="1">
      <alignment horizontal="center"/>
      <protection locked="0"/>
    </xf>
    <xf numFmtId="0" fontId="47" fillId="4" borderId="61" xfId="0" applyFont="1" applyFill="1" applyBorder="1" applyAlignment="1" applyProtection="1">
      <alignment horizontal="center"/>
      <protection locked="0"/>
    </xf>
    <xf numFmtId="0" fontId="47" fillId="4" borderId="67" xfId="0" applyFont="1" applyFill="1" applyBorder="1" applyAlignment="1" applyProtection="1">
      <alignment horizontal="center"/>
      <protection locked="0"/>
    </xf>
    <xf numFmtId="0" fontId="47" fillId="4" borderId="0" xfId="0" applyFont="1" applyFill="1" applyAlignment="1" applyProtection="1">
      <alignment horizontal="center"/>
      <protection locked="0"/>
    </xf>
    <xf numFmtId="0" fontId="47" fillId="4" borderId="63" xfId="0" applyFont="1" applyFill="1" applyBorder="1" applyAlignment="1" applyProtection="1">
      <alignment horizontal="center"/>
      <protection locked="0"/>
    </xf>
    <xf numFmtId="0" fontId="47" fillId="4" borderId="62" xfId="0" applyFont="1" applyFill="1" applyBorder="1" applyAlignment="1" applyProtection="1">
      <alignment horizontal="center"/>
      <protection locked="0"/>
    </xf>
    <xf numFmtId="0" fontId="47" fillId="4" borderId="25" xfId="0" applyFont="1" applyFill="1" applyBorder="1" applyAlignment="1" applyProtection="1">
      <alignment horizontal="center"/>
      <protection locked="0"/>
    </xf>
    <xf numFmtId="0" fontId="47" fillId="4" borderId="23" xfId="0" applyFont="1" applyFill="1" applyBorder="1" applyAlignment="1" applyProtection="1">
      <alignment horizontal="center"/>
      <protection locked="0"/>
    </xf>
    <xf numFmtId="0" fontId="47" fillId="0" borderId="52" xfId="0" applyFont="1" applyBorder="1" applyAlignment="1">
      <alignment horizontal="center"/>
    </xf>
    <xf numFmtId="0" fontId="47" fillId="0" borderId="53" xfId="0" applyFont="1" applyBorder="1" applyAlignment="1">
      <alignment horizontal="center"/>
    </xf>
    <xf numFmtId="0" fontId="47" fillId="0" borderId="61" xfId="0" applyFont="1" applyBorder="1" applyAlignment="1">
      <alignment horizontal="center"/>
    </xf>
    <xf numFmtId="0" fontId="48" fillId="0" borderId="58" xfId="0" applyFont="1" applyBorder="1" applyAlignment="1">
      <alignment horizontal="left" vertical="center"/>
    </xf>
    <xf numFmtId="0" fontId="40" fillId="0" borderId="58" xfId="0" applyFont="1" applyBorder="1"/>
    <xf numFmtId="0" fontId="40" fillId="0" borderId="74" xfId="0" applyFont="1" applyBorder="1"/>
    <xf numFmtId="0" fontId="48" fillId="0" borderId="73" xfId="0" applyFont="1" applyBorder="1" applyAlignment="1">
      <alignment horizontal="left" vertical="center"/>
    </xf>
    <xf numFmtId="0" fontId="40" fillId="0" borderId="58" xfId="0" applyFont="1" applyBorder="1" applyAlignment="1">
      <alignment horizontal="left" vertical="center"/>
    </xf>
    <xf numFmtId="0" fontId="40" fillId="0" borderId="74" xfId="0" applyFont="1" applyBorder="1" applyAlignment="1">
      <alignment horizontal="left" vertical="center"/>
    </xf>
    <xf numFmtId="0" fontId="76" fillId="4" borderId="58" xfId="0" applyFont="1" applyFill="1" applyBorder="1" applyAlignment="1" applyProtection="1">
      <alignment horizontal="left" vertical="center"/>
      <protection locked="0"/>
    </xf>
    <xf numFmtId="0" fontId="76" fillId="4" borderId="58" xfId="0" applyFont="1" applyFill="1" applyBorder="1" applyProtection="1">
      <protection locked="0"/>
    </xf>
    <xf numFmtId="0" fontId="76" fillId="4" borderId="50" xfId="0" applyFont="1" applyFill="1" applyBorder="1" applyProtection="1">
      <protection locked="0"/>
    </xf>
    <xf numFmtId="14" fontId="76" fillId="4" borderId="73" xfId="0" applyNumberFormat="1" applyFont="1" applyFill="1" applyBorder="1" applyAlignment="1" applyProtection="1">
      <alignment horizontal="left" vertical="center"/>
      <protection locked="0"/>
    </xf>
    <xf numFmtId="14" fontId="40" fillId="0" borderId="58" xfId="0" applyNumberFormat="1" applyFont="1" applyBorder="1" applyProtection="1">
      <protection locked="0"/>
    </xf>
    <xf numFmtId="14" fontId="40" fillId="0" borderId="74" xfId="0" applyNumberFormat="1" applyFont="1" applyBorder="1" applyProtection="1">
      <protection locked="0"/>
    </xf>
    <xf numFmtId="0" fontId="76" fillId="4" borderId="90" xfId="0" applyFont="1" applyFill="1" applyBorder="1" applyProtection="1">
      <protection locked="0"/>
    </xf>
    <xf numFmtId="0" fontId="76" fillId="4" borderId="25" xfId="0" applyFont="1" applyFill="1" applyBorder="1" applyProtection="1">
      <protection locked="0"/>
    </xf>
    <xf numFmtId="0" fontId="76" fillId="4" borderId="23" xfId="0" applyFont="1" applyFill="1" applyBorder="1" applyProtection="1">
      <protection locked="0"/>
    </xf>
    <xf numFmtId="0" fontId="81" fillId="0" borderId="0" xfId="0" applyFont="1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40" fillId="0" borderId="86" xfId="0" applyFont="1" applyBorder="1" applyAlignment="1">
      <alignment horizontal="center"/>
    </xf>
    <xf numFmtId="0" fontId="40" fillId="0" borderId="92" xfId="0" applyFont="1" applyBorder="1" applyAlignment="1">
      <alignment horizontal="center"/>
    </xf>
    <xf numFmtId="0" fontId="43" fillId="0" borderId="60" xfId="0" applyFont="1" applyBorder="1" applyAlignment="1">
      <alignment horizontal="right" vertical="center"/>
    </xf>
    <xf numFmtId="0" fontId="43" fillId="0" borderId="76" xfId="0" applyFont="1" applyBorder="1" applyAlignment="1">
      <alignment horizontal="right" vertical="center"/>
    </xf>
    <xf numFmtId="0" fontId="43" fillId="0" borderId="1" xfId="0" applyFont="1" applyBorder="1" applyAlignment="1">
      <alignment horizontal="right" vertical="center"/>
    </xf>
    <xf numFmtId="0" fontId="43" fillId="0" borderId="3" xfId="0" applyFont="1" applyBorder="1" applyAlignment="1">
      <alignment horizontal="right" vertical="center"/>
    </xf>
    <xf numFmtId="0" fontId="48" fillId="4" borderId="64" xfId="0" applyFont="1" applyFill="1" applyBorder="1" applyAlignment="1" applyProtection="1">
      <alignment horizontal="left" vertical="center"/>
      <protection locked="0"/>
    </xf>
    <xf numFmtId="0" fontId="48" fillId="4" borderId="59" xfId="0" applyFont="1" applyFill="1" applyBorder="1" applyAlignment="1" applyProtection="1">
      <alignment horizontal="left" vertical="center"/>
      <protection locked="0"/>
    </xf>
    <xf numFmtId="0" fontId="40" fillId="0" borderId="59" xfId="0" applyFont="1" applyBorder="1" applyProtection="1">
      <protection locked="0"/>
    </xf>
    <xf numFmtId="0" fontId="40" fillId="0" borderId="78" xfId="0" applyFont="1" applyBorder="1" applyProtection="1">
      <protection locked="0"/>
    </xf>
    <xf numFmtId="0" fontId="40" fillId="0" borderId="67" xfId="0" applyFont="1" applyBorder="1" applyAlignment="1">
      <alignment horizontal="right" vertical="center"/>
    </xf>
    <xf numFmtId="0" fontId="40" fillId="0" borderId="0" xfId="0" applyFont="1" applyAlignment="1">
      <alignment horizontal="right" vertical="center"/>
    </xf>
    <xf numFmtId="0" fontId="40" fillId="0" borderId="25" xfId="0" applyFont="1" applyBorder="1" applyAlignment="1">
      <alignment horizontal="right" vertical="center"/>
    </xf>
    <xf numFmtId="0" fontId="48" fillId="0" borderId="25" xfId="0" applyFont="1" applyBorder="1" applyAlignment="1">
      <alignment horizontal="center" vertical="center"/>
    </xf>
    <xf numFmtId="0" fontId="48" fillId="4" borderId="60" xfId="0" applyFont="1" applyFill="1" applyBorder="1" applyAlignment="1" applyProtection="1">
      <alignment horizontal="left" vertical="center"/>
      <protection locked="0"/>
    </xf>
    <xf numFmtId="0" fontId="48" fillId="4" borderId="56" xfId="0" applyFont="1" applyFill="1" applyBorder="1" applyAlignment="1" applyProtection="1">
      <alignment horizontal="left" vertical="center"/>
      <protection locked="0"/>
    </xf>
    <xf numFmtId="0" fontId="40" fillId="0" borderId="76" xfId="0" applyFont="1" applyBorder="1" applyProtection="1">
      <protection locked="0"/>
    </xf>
    <xf numFmtId="0" fontId="47" fillId="4" borderId="58" xfId="0" applyFont="1" applyFill="1" applyBorder="1" applyAlignment="1" applyProtection="1">
      <alignment horizontal="center" vertical="center"/>
      <protection locked="0"/>
    </xf>
    <xf numFmtId="0" fontId="47" fillId="4" borderId="50" xfId="0" applyFont="1" applyFill="1" applyBorder="1" applyAlignment="1" applyProtection="1">
      <alignment horizontal="center" vertical="center"/>
      <protection locked="0"/>
    </xf>
    <xf numFmtId="0" fontId="40" fillId="0" borderId="75" xfId="0" applyFont="1" applyBorder="1" applyAlignment="1">
      <alignment horizontal="center"/>
    </xf>
    <xf numFmtId="0" fontId="40" fillId="0" borderId="90" xfId="0" applyFont="1" applyBorder="1" applyAlignment="1">
      <alignment horizontal="center"/>
    </xf>
    <xf numFmtId="0" fontId="40" fillId="0" borderId="25" xfId="0" applyFont="1" applyBorder="1" applyAlignment="1">
      <alignment horizontal="center"/>
    </xf>
    <xf numFmtId="0" fontId="40" fillId="0" borderId="23" xfId="0" applyFont="1" applyBorder="1" applyAlignment="1">
      <alignment horizontal="center"/>
    </xf>
    <xf numFmtId="0" fontId="48" fillId="0" borderId="84" xfId="0" applyFont="1" applyBorder="1" applyAlignment="1">
      <alignment horizontal="center" vertical="center"/>
    </xf>
    <xf numFmtId="0" fontId="48" fillId="0" borderId="85" xfId="0" applyFont="1" applyBorder="1" applyAlignment="1">
      <alignment horizontal="center" vertical="center"/>
    </xf>
    <xf numFmtId="0" fontId="40" fillId="0" borderId="62" xfId="0" applyFont="1" applyBorder="1" applyAlignment="1">
      <alignment horizontal="right" vertical="center"/>
    </xf>
    <xf numFmtId="0" fontId="40" fillId="0" borderId="58" xfId="0" applyFont="1" applyBorder="1" applyAlignment="1">
      <alignment horizontal="right" vertical="center"/>
    </xf>
    <xf numFmtId="0" fontId="48" fillId="4" borderId="25" xfId="0" applyFont="1" applyFill="1" applyBorder="1" applyAlignment="1" applyProtection="1">
      <alignment horizontal="center" vertical="center"/>
      <protection locked="0"/>
    </xf>
    <xf numFmtId="0" fontId="48" fillId="4" borderId="23" xfId="0" applyFont="1" applyFill="1" applyBorder="1" applyAlignment="1" applyProtection="1">
      <alignment horizontal="center" vertical="center"/>
      <protection locked="0"/>
    </xf>
    <xf numFmtId="0" fontId="40" fillId="0" borderId="88" xfId="0" applyFont="1" applyBorder="1" applyAlignment="1">
      <alignment horizontal="center"/>
    </xf>
    <xf numFmtId="0" fontId="40" fillId="0" borderId="82" xfId="0" applyFont="1" applyBorder="1" applyAlignment="1">
      <alignment horizontal="center"/>
    </xf>
    <xf numFmtId="0" fontId="40" fillId="0" borderId="91" xfId="0" applyFont="1" applyBorder="1" applyAlignment="1">
      <alignment horizontal="center"/>
    </xf>
    <xf numFmtId="0" fontId="40" fillId="0" borderId="89" xfId="0" applyFont="1" applyBorder="1" applyAlignment="1">
      <alignment horizontal="center"/>
    </xf>
    <xf numFmtId="0" fontId="43" fillId="0" borderId="0" xfId="0" applyFont="1" applyAlignment="1">
      <alignment horizontal="left"/>
    </xf>
    <xf numFmtId="0" fontId="69" fillId="0" borderId="0" xfId="0" applyFont="1"/>
    <xf numFmtId="0" fontId="72" fillId="4" borderId="0" xfId="0" applyFont="1" applyFill="1" applyAlignment="1">
      <alignment horizontal="center" vertical="center"/>
    </xf>
    <xf numFmtId="0" fontId="43" fillId="0" borderId="39" xfId="0" applyFont="1" applyBorder="1" applyAlignment="1">
      <alignment horizontal="right" vertical="center"/>
    </xf>
    <xf numFmtId="0" fontId="43" fillId="0" borderId="58" xfId="0" applyFont="1" applyBorder="1" applyAlignment="1">
      <alignment horizontal="right" vertical="center"/>
    </xf>
    <xf numFmtId="14" fontId="47" fillId="4" borderId="58" xfId="0" quotePrefix="1" applyNumberFormat="1" applyFont="1" applyFill="1" applyBorder="1" applyAlignment="1" applyProtection="1">
      <alignment horizontal="center" vertical="center"/>
      <protection locked="0"/>
    </xf>
    <xf numFmtId="0" fontId="47" fillId="4" borderId="58" xfId="0" applyFont="1" applyFill="1" applyBorder="1" applyAlignment="1" applyProtection="1">
      <alignment horizontal="left"/>
      <protection locked="0"/>
    </xf>
    <xf numFmtId="0" fontId="47" fillId="4" borderId="50" xfId="0" applyFont="1" applyFill="1" applyBorder="1" applyAlignment="1" applyProtection="1">
      <alignment horizontal="left"/>
      <protection locked="0"/>
    </xf>
    <xf numFmtId="0" fontId="43" fillId="0" borderId="52" xfId="0" applyFont="1" applyBorder="1" applyAlignment="1">
      <alignment horizontal="center" vertical="center"/>
    </xf>
    <xf numFmtId="0" fontId="43" fillId="0" borderId="61" xfId="0" applyFont="1" applyBorder="1" applyAlignment="1">
      <alignment horizontal="center" vertical="center"/>
    </xf>
    <xf numFmtId="0" fontId="48" fillId="4" borderId="58" xfId="0" applyFont="1" applyFill="1" applyBorder="1" applyAlignment="1" applyProtection="1">
      <alignment horizontal="center" vertical="center"/>
      <protection locked="0"/>
    </xf>
    <xf numFmtId="0" fontId="48" fillId="4" borderId="50" xfId="0" applyFont="1" applyFill="1" applyBorder="1" applyAlignment="1" applyProtection="1">
      <alignment horizontal="center" vertical="center"/>
      <protection locked="0"/>
    </xf>
    <xf numFmtId="0" fontId="40" fillId="4" borderId="0" xfId="0" applyFont="1" applyFill="1" applyAlignment="1" applyProtection="1">
      <alignment horizontal="center" vertical="center"/>
      <protection locked="0"/>
    </xf>
    <xf numFmtId="0" fontId="40" fillId="4" borderId="63" xfId="0" applyFont="1" applyFill="1" applyBorder="1" applyAlignment="1" applyProtection="1">
      <alignment horizontal="center" vertical="center"/>
      <protection locked="0"/>
    </xf>
    <xf numFmtId="0" fontId="40" fillId="0" borderId="62" xfId="0" applyFont="1" applyBorder="1" applyAlignment="1">
      <alignment horizontal="center"/>
    </xf>
    <xf numFmtId="0" fontId="40" fillId="0" borderId="87" xfId="0" applyFont="1" applyBorder="1" applyAlignment="1">
      <alignment horizontal="center"/>
    </xf>
    <xf numFmtId="0" fontId="47" fillId="0" borderId="82" xfId="0" applyFont="1" applyBorder="1" applyAlignment="1">
      <alignment horizontal="center"/>
    </xf>
    <xf numFmtId="0" fontId="40" fillId="0" borderId="73" xfId="0" applyFont="1" applyBorder="1" applyAlignment="1">
      <alignment horizontal="center"/>
    </xf>
    <xf numFmtId="0" fontId="74" fillId="0" borderId="86" xfId="0" applyFont="1" applyBorder="1" applyAlignment="1">
      <alignment horizontal="center" vertical="center"/>
    </xf>
    <xf numFmtId="0" fontId="74" fillId="0" borderId="75" xfId="0" applyFont="1" applyBorder="1" applyAlignment="1">
      <alignment horizontal="center" vertical="center"/>
    </xf>
    <xf numFmtId="0" fontId="74" fillId="0" borderId="73" xfId="0" applyFont="1" applyBorder="1" applyAlignment="1">
      <alignment horizontal="center" vertical="center"/>
    </xf>
    <xf numFmtId="0" fontId="74" fillId="0" borderId="74" xfId="0" applyFont="1" applyBorder="1" applyAlignment="1">
      <alignment horizontal="center" vertical="center"/>
    </xf>
    <xf numFmtId="0" fontId="74" fillId="0" borderId="25" xfId="0" applyFont="1" applyBorder="1" applyAlignment="1">
      <alignment horizontal="center" vertical="center"/>
    </xf>
    <xf numFmtId="0" fontId="74" fillId="0" borderId="87" xfId="0" applyFont="1" applyBorder="1" applyAlignment="1">
      <alignment horizontal="center" vertical="center"/>
    </xf>
    <xf numFmtId="0" fontId="69" fillId="4" borderId="0" xfId="0" applyFont="1" applyFill="1" applyAlignment="1">
      <alignment horizontal="center"/>
    </xf>
    <xf numFmtId="0" fontId="92" fillId="0" borderId="0" xfId="0" applyFont="1" applyAlignment="1">
      <alignment horizontal="center"/>
    </xf>
    <xf numFmtId="0" fontId="43" fillId="4" borderId="67" xfId="0" applyFont="1" applyFill="1" applyBorder="1" applyAlignment="1">
      <alignment horizontal="center"/>
    </xf>
    <xf numFmtId="0" fontId="43" fillId="4" borderId="0" xfId="0" applyFont="1" applyFill="1" applyAlignment="1">
      <alignment horizontal="center"/>
    </xf>
    <xf numFmtId="0" fontId="43" fillId="4" borderId="63" xfId="0" applyFont="1" applyFill="1" applyBorder="1" applyAlignment="1">
      <alignment horizontal="center"/>
    </xf>
    <xf numFmtId="0" fontId="43" fillId="4" borderId="62" xfId="0" applyFont="1" applyFill="1" applyBorder="1" applyAlignment="1">
      <alignment horizontal="center"/>
    </xf>
    <xf numFmtId="0" fontId="43" fillId="4" borderId="25" xfId="0" applyFont="1" applyFill="1" applyBorder="1" applyAlignment="1">
      <alignment horizontal="center"/>
    </xf>
    <xf numFmtId="0" fontId="43" fillId="4" borderId="23" xfId="0" applyFont="1" applyFill="1" applyBorder="1" applyAlignment="1">
      <alignment horizontal="center"/>
    </xf>
    <xf numFmtId="0" fontId="74" fillId="0" borderId="39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43" fillId="0" borderId="52" xfId="0" applyFont="1" applyBorder="1" applyAlignment="1">
      <alignment horizontal="center"/>
    </xf>
    <xf numFmtId="0" fontId="43" fillId="0" borderId="53" xfId="0" applyFont="1" applyBorder="1" applyAlignment="1">
      <alignment horizontal="center"/>
    </xf>
    <xf numFmtId="0" fontId="43" fillId="0" borderId="61" xfId="0" applyFont="1" applyBorder="1" applyAlignment="1">
      <alignment horizontal="center"/>
    </xf>
    <xf numFmtId="0" fontId="43" fillId="0" borderId="67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63" xfId="0" applyFont="1" applyBorder="1" applyAlignment="1">
      <alignment horizontal="center"/>
    </xf>
    <xf numFmtId="0" fontId="76" fillId="0" borderId="39" xfId="0" applyFont="1" applyBorder="1" applyAlignment="1">
      <alignment horizontal="center"/>
    </xf>
    <xf numFmtId="0" fontId="76" fillId="0" borderId="58" xfId="0" applyFont="1" applyBorder="1" applyAlignment="1">
      <alignment horizontal="center"/>
    </xf>
    <xf numFmtId="0" fontId="76" fillId="0" borderId="50" xfId="0" applyFont="1" applyBorder="1" applyAlignment="1">
      <alignment horizontal="center"/>
    </xf>
    <xf numFmtId="167" fontId="40" fillId="4" borderId="0" xfId="0" applyNumberFormat="1" applyFont="1" applyFill="1" applyAlignment="1" applyProtection="1">
      <alignment horizontal="center" vertical="center"/>
      <protection locked="0"/>
    </xf>
    <xf numFmtId="0" fontId="47" fillId="4" borderId="0" xfId="0" applyFont="1" applyFill="1" applyAlignment="1" applyProtection="1">
      <alignment horizontal="left"/>
      <protection locked="0"/>
    </xf>
    <xf numFmtId="0" fontId="55" fillId="0" borderId="0" xfId="0" applyFont="1" applyAlignment="1">
      <alignment horizontal="left" vertical="center"/>
    </xf>
    <xf numFmtId="166" fontId="40" fillId="3" borderId="0" xfId="0" quotePrefix="1" applyNumberFormat="1" applyFont="1" applyFill="1" applyAlignment="1">
      <alignment horizontal="center" vertical="center"/>
    </xf>
    <xf numFmtId="165" fontId="40" fillId="3" borderId="0" xfId="0" applyNumberFormat="1" applyFont="1" applyFill="1" applyAlignment="1">
      <alignment horizontal="right" vertical="center"/>
    </xf>
    <xf numFmtId="0" fontId="40" fillId="3" borderId="0" xfId="0" applyFont="1" applyFill="1" applyAlignment="1">
      <alignment horizontal="center" vertical="center"/>
    </xf>
    <xf numFmtId="0" fontId="40" fillId="0" borderId="0" xfId="0" applyFont="1" applyAlignment="1">
      <alignment horizontal="center" vertical="top"/>
    </xf>
    <xf numFmtId="168" fontId="40" fillId="4" borderId="0" xfId="0" quotePrefix="1" applyNumberFormat="1" applyFont="1" applyFill="1" applyAlignment="1" applyProtection="1">
      <alignment horizontal="center" vertical="center"/>
      <protection locked="0"/>
    </xf>
    <xf numFmtId="14" fontId="85" fillId="0" borderId="0" xfId="0" applyNumberFormat="1" applyFont="1" applyAlignment="1" applyProtection="1">
      <alignment horizontal="left" vertical="top" wrapText="1"/>
      <protection locked="0"/>
    </xf>
    <xf numFmtId="14" fontId="85" fillId="0" borderId="0" xfId="0" applyNumberFormat="1" applyFont="1" applyAlignment="1" applyProtection="1">
      <alignment horizontal="left" vertical="top"/>
      <protection locked="0"/>
    </xf>
    <xf numFmtId="0" fontId="40" fillId="0" borderId="0" xfId="0" applyFont="1" applyAlignment="1" applyProtection="1">
      <alignment horizontal="left" vertical="top"/>
      <protection locked="0"/>
    </xf>
    <xf numFmtId="0" fontId="55" fillId="4" borderId="0" xfId="0" applyFont="1" applyFill="1" applyAlignment="1" applyProtection="1">
      <alignment horizontal="left" vertical="center"/>
      <protection locked="0"/>
    </xf>
    <xf numFmtId="0" fontId="55" fillId="0" borderId="0" xfId="0" applyFont="1" applyAlignment="1" applyProtection="1">
      <alignment horizontal="left" vertical="center"/>
      <protection locked="0"/>
    </xf>
    <xf numFmtId="0" fontId="55" fillId="0" borderId="0" xfId="0" applyFont="1" applyAlignment="1">
      <alignment vertical="center"/>
    </xf>
    <xf numFmtId="0" fontId="55" fillId="0" borderId="0" xfId="0" applyFont="1"/>
    <xf numFmtId="0" fontId="71" fillId="0" borderId="0" xfId="0" applyFont="1" applyAlignment="1">
      <alignment horizontal="left" vertical="center"/>
    </xf>
    <xf numFmtId="0" fontId="76" fillId="0" borderId="0" xfId="0" applyFont="1" applyAlignment="1">
      <alignment horizontal="center" vertical="center"/>
    </xf>
    <xf numFmtId="165" fontId="40" fillId="4" borderId="0" xfId="0" applyNumberFormat="1" applyFont="1" applyFill="1" applyAlignment="1" applyProtection="1">
      <alignment horizontal="right" vertical="center"/>
      <protection locked="0"/>
    </xf>
    <xf numFmtId="0" fontId="43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43" fillId="4" borderId="0" xfId="0" applyFont="1" applyFill="1" applyAlignment="1">
      <alignment horizontal="center" vertical="center" wrapText="1"/>
    </xf>
    <xf numFmtId="0" fontId="47" fillId="4" borderId="0" xfId="0" applyFont="1" applyFill="1" applyAlignment="1" applyProtection="1">
      <alignment horizontal="left" vertical="center"/>
      <protection locked="0"/>
    </xf>
    <xf numFmtId="0" fontId="40" fillId="4" borderId="0" xfId="0" applyFont="1" applyFill="1" applyAlignment="1" applyProtection="1">
      <alignment horizontal="left" vertical="center"/>
      <protection locked="0"/>
    </xf>
    <xf numFmtId="0" fontId="40" fillId="0" borderId="0" xfId="0" applyFont="1" applyAlignment="1">
      <alignment horizontal="left" vertical="center"/>
    </xf>
    <xf numFmtId="0" fontId="77" fillId="0" borderId="0" xfId="0" applyFont="1" applyAlignment="1">
      <alignment horizontal="center" vertical="center"/>
    </xf>
    <xf numFmtId="0" fontId="47" fillId="0" borderId="0" xfId="0" applyFont="1" applyAlignment="1">
      <alignment horizontal="left"/>
    </xf>
    <xf numFmtId="0" fontId="40" fillId="0" borderId="0" xfId="0" applyFont="1" applyAlignment="1">
      <alignment horizontal="center" vertical="center"/>
    </xf>
    <xf numFmtId="0" fontId="40" fillId="0" borderId="39" xfId="0" applyFont="1" applyBorder="1" applyAlignment="1" applyProtection="1">
      <alignment horizontal="center" vertical="center"/>
      <protection locked="0"/>
    </xf>
    <xf numFmtId="0" fontId="40" fillId="0" borderId="46" xfId="0" applyFont="1" applyBorder="1" applyAlignment="1" applyProtection="1">
      <alignment horizontal="center" vertical="center"/>
      <protection locked="0"/>
    </xf>
    <xf numFmtId="0" fontId="73" fillId="11" borderId="11" xfId="0" applyFont="1" applyFill="1" applyBorder="1" applyAlignment="1">
      <alignment horizontal="center" vertical="center"/>
    </xf>
    <xf numFmtId="0" fontId="73" fillId="11" borderId="12" xfId="0" applyFont="1" applyFill="1" applyBorder="1" applyAlignment="1">
      <alignment horizontal="center" vertical="center"/>
    </xf>
    <xf numFmtId="0" fontId="73" fillId="11" borderId="29" xfId="0" applyFont="1" applyFill="1" applyBorder="1" applyAlignment="1">
      <alignment horizontal="center" vertical="center"/>
    </xf>
    <xf numFmtId="0" fontId="74" fillId="4" borderId="132" xfId="0" applyFont="1" applyFill="1" applyBorder="1" applyAlignment="1">
      <alignment horizontal="left" vertical="center"/>
    </xf>
    <xf numFmtId="0" fontId="40" fillId="0" borderId="60" xfId="0" applyFont="1" applyBorder="1" applyAlignment="1" applyProtection="1">
      <alignment horizontal="center" vertical="center"/>
      <protection locked="0"/>
    </xf>
    <xf numFmtId="0" fontId="40" fillId="0" borderId="47" xfId="0" applyFont="1" applyBorder="1" applyAlignment="1" applyProtection="1">
      <alignment horizontal="center" vertical="center"/>
      <protection locked="0"/>
    </xf>
    <xf numFmtId="0" fontId="74" fillId="0" borderId="13" xfId="0" applyFont="1" applyBorder="1" applyAlignment="1">
      <alignment horizontal="center" vertical="center"/>
    </xf>
    <xf numFmtId="0" fontId="74" fillId="0" borderId="14" xfId="0" applyFont="1" applyBorder="1" applyAlignment="1">
      <alignment horizontal="center" vertical="center"/>
    </xf>
    <xf numFmtId="0" fontId="48" fillId="0" borderId="137" xfId="0" applyFont="1" applyBorder="1" applyAlignment="1">
      <alignment horizontal="center" vertical="center" wrapText="1"/>
    </xf>
    <xf numFmtId="0" fontId="48" fillId="0" borderId="43" xfId="0" applyFont="1" applyBorder="1" applyAlignment="1">
      <alignment horizontal="center" vertical="center"/>
    </xf>
    <xf numFmtId="0" fontId="55" fillId="7" borderId="16" xfId="0" applyFont="1" applyFill="1" applyBorder="1" applyAlignment="1" applyProtection="1">
      <alignment horizontal="center" vertical="center"/>
      <protection locked="0"/>
    </xf>
    <xf numFmtId="0" fontId="43" fillId="0" borderId="150" xfId="0" applyFont="1" applyBorder="1" applyAlignment="1">
      <alignment horizontal="center" vertical="center"/>
    </xf>
    <xf numFmtId="0" fontId="43" fillId="0" borderId="151" xfId="0" applyFont="1" applyBorder="1" applyAlignment="1">
      <alignment horizontal="center" vertical="center"/>
    </xf>
    <xf numFmtId="0" fontId="43" fillId="0" borderId="153" xfId="0" applyFont="1" applyBorder="1" applyAlignment="1">
      <alignment horizontal="center" vertical="center"/>
    </xf>
    <xf numFmtId="0" fontId="75" fillId="4" borderId="14" xfId="0" applyFont="1" applyFill="1" applyBorder="1" applyAlignment="1">
      <alignment horizontal="center"/>
    </xf>
    <xf numFmtId="0" fontId="75" fillId="4" borderId="43" xfId="0" applyFont="1" applyFill="1" applyBorder="1" applyAlignment="1">
      <alignment horizontal="center"/>
    </xf>
    <xf numFmtId="0" fontId="55" fillId="7" borderId="17" xfId="0" applyFont="1" applyFill="1" applyBorder="1" applyAlignment="1" applyProtection="1">
      <alignment horizontal="center" vertical="center"/>
      <protection locked="0"/>
    </xf>
    <xf numFmtId="0" fontId="55" fillId="7" borderId="99" xfId="0" applyFont="1" applyFill="1" applyBorder="1" applyAlignment="1" applyProtection="1">
      <alignment horizontal="center" vertical="center"/>
      <protection locked="0"/>
    </xf>
    <xf numFmtId="0" fontId="55" fillId="7" borderId="14" xfId="0" applyFont="1" applyFill="1" applyBorder="1" applyAlignment="1" applyProtection="1">
      <alignment horizontal="center" vertical="center"/>
      <protection locked="0"/>
    </xf>
    <xf numFmtId="0" fontId="74" fillId="0" borderId="26" xfId="0" applyFont="1" applyBorder="1" applyAlignment="1">
      <alignment horizontal="right" vertical="center"/>
    </xf>
    <xf numFmtId="0" fontId="74" fillId="0" borderId="17" xfId="0" applyFont="1" applyBorder="1" applyAlignment="1">
      <alignment horizontal="right" vertical="center"/>
    </xf>
    <xf numFmtId="14" fontId="55" fillId="7" borderId="144" xfId="0" applyNumberFormat="1" applyFont="1" applyFill="1" applyBorder="1" applyAlignment="1" applyProtection="1">
      <alignment horizontal="center" vertical="center"/>
      <protection locked="0"/>
    </xf>
    <xf numFmtId="0" fontId="55" fillId="0" borderId="144" xfId="0" applyFont="1" applyBorder="1" applyAlignment="1" applyProtection="1">
      <alignment horizontal="center" vertical="center"/>
      <protection locked="0"/>
    </xf>
    <xf numFmtId="0" fontId="49" fillId="4" borderId="0" xfId="0" applyFont="1" applyFill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71" fillId="4" borderId="0" xfId="0" applyFont="1" applyFill="1" applyAlignment="1">
      <alignment horizontal="center" textRotation="180"/>
    </xf>
    <xf numFmtId="0" fontId="40" fillId="0" borderId="138" xfId="0" applyFont="1" applyBorder="1" applyAlignment="1" applyProtection="1">
      <alignment horizontal="center" vertical="center"/>
      <protection locked="0"/>
    </xf>
    <xf numFmtId="0" fontId="40" fillId="0" borderId="48" xfId="0" applyFont="1" applyBorder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71" fillId="0" borderId="53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 wrapText="1"/>
    </xf>
    <xf numFmtId="0" fontId="52" fillId="0" borderId="0" xfId="41" applyFont="1" applyAlignment="1">
      <alignment horizontal="left"/>
    </xf>
    <xf numFmtId="0" fontId="67" fillId="0" borderId="0" xfId="41" applyFont="1" applyAlignment="1">
      <alignment horizontal="left" vertical="center" wrapText="1"/>
    </xf>
    <xf numFmtId="0" fontId="67" fillId="0" borderId="0" xfId="41" applyFont="1" applyAlignment="1">
      <alignment horizontal="left" vertical="top" wrapText="1"/>
    </xf>
    <xf numFmtId="0" fontId="66" fillId="0" borderId="0" xfId="41" applyFont="1" applyAlignment="1">
      <alignment horizontal="left" vertical="center" wrapText="1"/>
    </xf>
    <xf numFmtId="0" fontId="40" fillId="4" borderId="52" xfId="41" applyFont="1" applyFill="1" applyBorder="1" applyAlignment="1">
      <alignment horizontal="center"/>
    </xf>
    <xf numFmtId="0" fontId="40" fillId="4" borderId="53" xfId="41" applyFont="1" applyFill="1" applyBorder="1" applyAlignment="1">
      <alignment horizontal="center"/>
    </xf>
    <xf numFmtId="0" fontId="40" fillId="4" borderId="61" xfId="41" applyFont="1" applyFill="1" applyBorder="1" applyAlignment="1">
      <alignment horizontal="center"/>
    </xf>
    <xf numFmtId="0" fontId="40" fillId="4" borderId="62" xfId="41" applyFont="1" applyFill="1" applyBorder="1" applyAlignment="1">
      <alignment horizontal="center"/>
    </xf>
    <xf numFmtId="0" fontId="40" fillId="4" borderId="25" xfId="41" applyFont="1" applyFill="1" applyBorder="1" applyAlignment="1">
      <alignment horizontal="center"/>
    </xf>
    <xf numFmtId="0" fontId="40" fillId="4" borderId="23" xfId="41" applyFont="1" applyFill="1" applyBorder="1" applyAlignment="1">
      <alignment horizontal="center"/>
    </xf>
    <xf numFmtId="0" fontId="43" fillId="0" borderId="64" xfId="41" applyFont="1" applyBorder="1" applyAlignment="1">
      <alignment horizontal="left"/>
    </xf>
    <xf numFmtId="0" fontId="40" fillId="0" borderId="59" xfId="41" applyFont="1" applyBorder="1" applyAlignment="1">
      <alignment horizontal="left"/>
    </xf>
    <xf numFmtId="0" fontId="40" fillId="0" borderId="78" xfId="41" applyFont="1" applyBorder="1" applyAlignment="1">
      <alignment horizontal="left"/>
    </xf>
    <xf numFmtId="0" fontId="66" fillId="0" borderId="1" xfId="41" applyFont="1" applyBorder="1" applyAlignment="1">
      <alignment horizontal="center" vertical="center" wrapText="1"/>
    </xf>
    <xf numFmtId="0" fontId="66" fillId="0" borderId="3" xfId="41" applyFont="1" applyBorder="1" applyAlignment="1">
      <alignment horizontal="center" vertical="center" wrapText="1"/>
    </xf>
    <xf numFmtId="0" fontId="66" fillId="4" borderId="1" xfId="41" applyFont="1" applyFill="1" applyBorder="1" applyAlignment="1" applyProtection="1">
      <alignment horizontal="left" vertical="center" wrapText="1"/>
      <protection locked="0"/>
    </xf>
    <xf numFmtId="0" fontId="66" fillId="4" borderId="2" xfId="41" applyFont="1" applyFill="1" applyBorder="1" applyAlignment="1" applyProtection="1">
      <alignment horizontal="left" vertical="center" wrapText="1"/>
      <protection locked="0"/>
    </xf>
    <xf numFmtId="0" fontId="66" fillId="4" borderId="3" xfId="41" applyFont="1" applyFill="1" applyBorder="1" applyAlignment="1" applyProtection="1">
      <alignment horizontal="left" vertical="center" wrapText="1"/>
      <protection locked="0"/>
    </xf>
    <xf numFmtId="0" fontId="50" fillId="0" borderId="0" xfId="41" applyFont="1" applyAlignment="1">
      <alignment horizontal="center" vertical="center"/>
    </xf>
    <xf numFmtId="174" fontId="47" fillId="0" borderId="0" xfId="0" applyNumberFormat="1" applyFont="1" applyAlignment="1">
      <alignment horizontal="center" vertical="center"/>
    </xf>
    <xf numFmtId="174" fontId="48" fillId="0" borderId="0" xfId="0" applyNumberFormat="1" applyFont="1" applyAlignment="1">
      <alignment horizontal="center" vertical="center"/>
    </xf>
    <xf numFmtId="0" fontId="48" fillId="0" borderId="75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174" fontId="48" fillId="0" borderId="25" xfId="0" applyNumberFormat="1" applyFont="1" applyBorder="1" applyAlignment="1">
      <alignment horizontal="center" vertical="center"/>
    </xf>
    <xf numFmtId="174" fontId="48" fillId="0" borderId="75" xfId="0" applyNumberFormat="1" applyFont="1" applyBorder="1" applyAlignment="1">
      <alignment horizontal="center" vertical="center"/>
    </xf>
    <xf numFmtId="0" fontId="54" fillId="0" borderId="0" xfId="0" applyFont="1" applyAlignment="1">
      <alignment horizontal="left" vertical="center"/>
    </xf>
    <xf numFmtId="0" fontId="50" fillId="0" borderId="0" xfId="0" applyFont="1" applyAlignment="1">
      <alignment horizontal="center" vertical="center"/>
    </xf>
    <xf numFmtId="0" fontId="61" fillId="0" borderId="0" xfId="0" applyFont="1"/>
    <xf numFmtId="0" fontId="60" fillId="0" borderId="0" xfId="0" applyFont="1" applyAlignment="1">
      <alignment horizontal="center" vertical="center"/>
    </xf>
    <xf numFmtId="0" fontId="62" fillId="0" borderId="0" xfId="0" applyFont="1"/>
    <xf numFmtId="0" fontId="51" fillId="0" borderId="0" xfId="0" applyFont="1" applyAlignment="1">
      <alignment horizontal="right" vertical="center"/>
    </xf>
    <xf numFmtId="0" fontId="63" fillId="0" borderId="0" xfId="0" applyFont="1" applyAlignment="1">
      <alignment horizontal="right"/>
    </xf>
    <xf numFmtId="172" fontId="0" fillId="0" borderId="137" xfId="37" applyNumberFormat="1" applyFont="1" applyBorder="1" applyAlignment="1" applyProtection="1">
      <alignment horizontal="center" vertical="center"/>
      <protection locked="0"/>
    </xf>
    <xf numFmtId="172" fontId="0" fillId="0" borderId="14" xfId="37" applyNumberFormat="1" applyFont="1" applyBorder="1" applyAlignment="1" applyProtection="1">
      <alignment horizontal="center" vertical="center"/>
      <protection locked="0"/>
    </xf>
    <xf numFmtId="172" fontId="0" fillId="0" borderId="112" xfId="37" applyNumberFormat="1" applyFont="1" applyBorder="1" applyAlignment="1" applyProtection="1">
      <alignment horizontal="center" vertical="center"/>
      <protection locked="0"/>
    </xf>
    <xf numFmtId="172" fontId="0" fillId="0" borderId="1" xfId="37" applyNumberFormat="1" applyFont="1" applyBorder="1" applyAlignment="1" applyProtection="1">
      <alignment horizontal="center" vertical="center"/>
      <protection locked="0"/>
    </xf>
    <xf numFmtId="172" fontId="0" fillId="0" borderId="2" xfId="37" applyNumberFormat="1" applyFont="1" applyBorder="1" applyAlignment="1" applyProtection="1">
      <alignment horizontal="center" vertical="center"/>
      <protection locked="0"/>
    </xf>
    <xf numFmtId="172" fontId="0" fillId="0" borderId="3" xfId="37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/>
    </xf>
    <xf numFmtId="0" fontId="3" fillId="0" borderId="20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63" xfId="0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4" fillId="0" borderId="55" xfId="0" applyFont="1" applyBorder="1" applyAlignment="1" applyProtection="1">
      <alignment horizontal="left" vertical="center"/>
      <protection locked="0"/>
    </xf>
    <xf numFmtId="0" fontId="0" fillId="0" borderId="105" xfId="0" applyBorder="1" applyAlignment="1" applyProtection="1">
      <alignment horizontal="center" vertical="center"/>
      <protection locked="0"/>
    </xf>
    <xf numFmtId="0" fontId="0" fillId="0" borderId="57" xfId="0" applyBorder="1" applyAlignment="1" applyProtection="1">
      <alignment horizontal="center" vertical="center"/>
      <protection locked="0"/>
    </xf>
    <xf numFmtId="0" fontId="0" fillId="0" borderId="79" xfId="0" applyBorder="1" applyAlignment="1" applyProtection="1">
      <alignment horizontal="center" vertical="center"/>
      <protection locked="0"/>
    </xf>
    <xf numFmtId="0" fontId="4" fillId="0" borderId="53" xfId="0" applyFont="1" applyBorder="1" applyAlignment="1" applyProtection="1">
      <alignment horizontal="left" vertical="center"/>
      <protection locked="0"/>
    </xf>
    <xf numFmtId="0" fontId="4" fillId="0" borderId="61" xfId="0" applyFont="1" applyBorder="1" applyAlignment="1" applyProtection="1">
      <alignment horizontal="left" vertical="center"/>
      <protection locked="0"/>
    </xf>
    <xf numFmtId="0" fontId="4" fillId="0" borderId="93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94" xfId="0" applyBorder="1" applyAlignment="1">
      <alignment horizontal="center"/>
    </xf>
    <xf numFmtId="0" fontId="4" fillId="0" borderId="93" xfId="0" applyFont="1" applyBorder="1" applyAlignment="1">
      <alignment vertical="center" shrinkToFit="1"/>
    </xf>
    <xf numFmtId="0" fontId="4" fillId="0" borderId="30" xfId="0" applyFont="1" applyBorder="1" applyAlignment="1">
      <alignment vertical="center" shrinkToFit="1"/>
    </xf>
    <xf numFmtId="0" fontId="4" fillId="0" borderId="94" xfId="0" applyFont="1" applyBorder="1" applyAlignment="1">
      <alignment vertical="center" shrinkToFit="1"/>
    </xf>
    <xf numFmtId="0" fontId="4" fillId="0" borderId="96" xfId="0" applyFont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0" borderId="97" xfId="0" applyFont="1" applyBorder="1" applyAlignment="1">
      <alignment vertical="center" shrinkToFit="1"/>
    </xf>
    <xf numFmtId="0" fontId="4" fillId="0" borderId="26" xfId="0" applyFont="1" applyBorder="1" applyAlignment="1">
      <alignment vertical="center" shrinkToFit="1"/>
    </xf>
    <xf numFmtId="0" fontId="4" fillId="0" borderId="17" xfId="0" applyFont="1" applyBorder="1" applyAlignment="1">
      <alignment vertical="center" shrinkToFit="1"/>
    </xf>
    <xf numFmtId="0" fontId="4" fillId="0" borderId="99" xfId="0" applyFont="1" applyBorder="1" applyAlignment="1">
      <alignment vertical="center" shrinkToFit="1"/>
    </xf>
    <xf numFmtId="0" fontId="4" fillId="0" borderId="95" xfId="0" applyFont="1" applyBorder="1" applyAlignment="1">
      <alignment horizontal="center" vertical="center" wrapText="1"/>
    </xf>
    <xf numFmtId="0" fontId="4" fillId="0" borderId="98" xfId="0" applyFont="1" applyBorder="1" applyAlignment="1">
      <alignment horizontal="center" vertical="center"/>
    </xf>
    <xf numFmtId="0" fontId="4" fillId="0" borderId="100" xfId="0" applyFont="1" applyBorder="1" applyAlignment="1">
      <alignment horizontal="center" vertical="center"/>
    </xf>
    <xf numFmtId="0" fontId="7" fillId="0" borderId="95" xfId="0" applyFont="1" applyBorder="1" applyAlignment="1">
      <alignment horizontal="center" vertical="center" wrapText="1"/>
    </xf>
    <xf numFmtId="0" fontId="0" fillId="0" borderId="98" xfId="0" applyBorder="1" applyAlignment="1">
      <alignment vertical="center" wrapText="1"/>
    </xf>
    <xf numFmtId="0" fontId="0" fillId="0" borderId="100" xfId="0" applyBorder="1" applyAlignment="1">
      <alignment vertical="center" wrapText="1"/>
    </xf>
    <xf numFmtId="0" fontId="6" fillId="0" borderId="11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0" fillId="0" borderId="9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99" xfId="0" applyBorder="1" applyAlignment="1">
      <alignment horizontal="center"/>
    </xf>
    <xf numFmtId="0" fontId="4" fillId="0" borderId="30" xfId="0" applyFont="1" applyBorder="1" applyAlignment="1" applyProtection="1">
      <alignment horizontal="left" vertical="center"/>
      <protection locked="0"/>
    </xf>
    <xf numFmtId="0" fontId="4" fillId="0" borderId="19" xfId="0" applyFont="1" applyBorder="1" applyAlignment="1" applyProtection="1">
      <alignment horizontal="left" vertical="center"/>
      <protection locked="0"/>
    </xf>
    <xf numFmtId="0" fontId="0" fillId="0" borderId="101" xfId="0" applyBorder="1" applyAlignment="1" applyProtection="1">
      <alignment horizontal="center" vertical="center"/>
      <protection locked="0"/>
    </xf>
    <xf numFmtId="0" fontId="4" fillId="0" borderId="98" xfId="0" applyFont="1" applyBorder="1" applyAlignment="1">
      <alignment horizontal="center" vertical="center" wrapText="1"/>
    </xf>
    <xf numFmtId="0" fontId="4" fillId="0" borderId="10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100" xfId="0" applyFont="1" applyBorder="1" applyAlignment="1">
      <alignment horizontal="center" vertical="center" wrapText="1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0" fontId="0" fillId="0" borderId="106" xfId="0" applyBorder="1" applyAlignment="1" applyProtection="1">
      <alignment horizontal="center" vertical="center"/>
      <protection locked="0"/>
    </xf>
    <xf numFmtId="0" fontId="4" fillId="0" borderId="9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97" xfId="0" applyFont="1" applyBorder="1" applyAlignment="1">
      <alignment horizontal="center"/>
    </xf>
    <xf numFmtId="0" fontId="4" fillId="0" borderId="101" xfId="0" applyFont="1" applyBorder="1" applyAlignment="1" applyProtection="1">
      <alignment horizontal="center" vertical="center"/>
      <protection locked="0"/>
    </xf>
    <xf numFmtId="172" fontId="0" fillId="0" borderId="140" xfId="37" applyNumberFormat="1" applyFont="1" applyBorder="1" applyAlignment="1" applyProtection="1">
      <alignment horizontal="center" vertical="center"/>
      <protection locked="0"/>
    </xf>
    <xf numFmtId="172" fontId="0" fillId="0" borderId="30" xfId="37" applyNumberFormat="1" applyFont="1" applyBorder="1" applyAlignment="1" applyProtection="1">
      <alignment horizontal="center" vertical="center"/>
      <protection locked="0"/>
    </xf>
    <xf numFmtId="172" fontId="0" fillId="0" borderId="19" xfId="37" applyNumberFormat="1" applyFont="1" applyBorder="1" applyAlignment="1" applyProtection="1">
      <alignment horizontal="center" vertical="center"/>
      <protection locked="0"/>
    </xf>
    <xf numFmtId="172" fontId="0" fillId="0" borderId="54" xfId="37" applyNumberFormat="1" applyFont="1" applyBorder="1" applyAlignment="1" applyProtection="1">
      <alignment horizontal="center" vertical="center"/>
      <protection locked="0"/>
    </xf>
    <xf numFmtId="172" fontId="0" fillId="0" borderId="20" xfId="37" applyNumberFormat="1" applyFont="1" applyBorder="1" applyAlignment="1" applyProtection="1">
      <alignment horizontal="center" vertical="center"/>
      <protection locked="0"/>
    </xf>
    <xf numFmtId="172" fontId="0" fillId="0" borderId="55" xfId="37" applyNumberFormat="1" applyFont="1" applyBorder="1" applyAlignment="1" applyProtection="1">
      <alignment horizontal="center" vertical="center"/>
      <protection locked="0"/>
    </xf>
    <xf numFmtId="172" fontId="0" fillId="0" borderId="52" xfId="37" applyNumberFormat="1" applyFont="1" applyBorder="1" applyAlignment="1" applyProtection="1">
      <alignment horizontal="center" vertical="center"/>
      <protection locked="0"/>
    </xf>
    <xf numFmtId="172" fontId="0" fillId="0" borderId="53" xfId="37" applyNumberFormat="1" applyFont="1" applyBorder="1" applyAlignment="1" applyProtection="1">
      <alignment horizontal="center" vertical="center"/>
      <protection locked="0"/>
    </xf>
    <xf numFmtId="172" fontId="0" fillId="0" borderId="61" xfId="37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>
      <alignment horizontal="left"/>
    </xf>
    <xf numFmtId="49" fontId="4" fillId="0" borderId="20" xfId="0" applyNumberFormat="1" applyFont="1" applyBorder="1" applyAlignment="1" applyProtection="1">
      <alignment horizontal="center" vertical="center"/>
      <protection locked="0"/>
    </xf>
    <xf numFmtId="49" fontId="6" fillId="0" borderId="53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3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17" fillId="0" borderId="0" xfId="0" applyFont="1" applyAlignment="1">
      <alignment horizontal="right" vertical="center"/>
    </xf>
    <xf numFmtId="0" fontId="17" fillId="0" borderId="63" xfId="0" applyFont="1" applyBorder="1" applyAlignment="1">
      <alignment horizontal="right" vertical="center"/>
    </xf>
    <xf numFmtId="0" fontId="0" fillId="0" borderId="52" xfId="0" applyBorder="1" applyAlignment="1" applyProtection="1">
      <alignment horizontal="center" vertical="center"/>
      <protection locked="0"/>
    </xf>
    <xf numFmtId="0" fontId="0" fillId="0" borderId="61" xfId="0" applyBorder="1" applyAlignment="1" applyProtection="1">
      <alignment horizontal="center" vertical="center"/>
      <protection locked="0"/>
    </xf>
    <xf numFmtId="0" fontId="0" fillId="0" borderId="54" xfId="0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0" fontId="0" fillId="0" borderId="141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172" fontId="0" fillId="0" borderId="142" xfId="37" applyNumberFormat="1" applyFont="1" applyBorder="1" applyAlignment="1" applyProtection="1">
      <alignment horizontal="center" vertical="center"/>
      <protection locked="0"/>
    </xf>
    <xf numFmtId="172" fontId="0" fillId="0" borderId="16" xfId="37" applyNumberFormat="1" applyFont="1" applyBorder="1" applyAlignment="1" applyProtection="1">
      <alignment horizontal="center" vertical="center"/>
      <protection locked="0"/>
    </xf>
    <xf numFmtId="172" fontId="0" fillId="0" borderId="143" xfId="37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0" fillId="0" borderId="140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4" fillId="0" borderId="93" xfId="0" applyFont="1" applyBorder="1" applyAlignment="1">
      <alignment horizontal="center" vertical="center" wrapText="1"/>
    </xf>
    <xf numFmtId="0" fontId="4" fillId="0" borderId="94" xfId="0" applyFont="1" applyBorder="1" applyAlignment="1">
      <alignment horizontal="center" vertical="center" wrapText="1"/>
    </xf>
    <xf numFmtId="0" fontId="4" fillId="0" borderId="96" xfId="0" applyFont="1" applyBorder="1" applyAlignment="1">
      <alignment horizontal="center" vertical="center" wrapText="1"/>
    </xf>
    <xf numFmtId="0" fontId="4" fillId="0" borderId="97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14" fontId="4" fillId="0" borderId="20" xfId="0" applyNumberFormat="1" applyFont="1" applyBorder="1" applyAlignment="1" applyProtection="1">
      <alignment horizontal="center" vertical="center"/>
      <protection locked="0"/>
    </xf>
    <xf numFmtId="0" fontId="15" fillId="0" borderId="93" xfId="38" applyFont="1" applyBorder="1" applyAlignment="1">
      <alignment horizontal="center" vertical="center"/>
    </xf>
    <xf numFmtId="0" fontId="15" fillId="0" borderId="96" xfId="38" applyFont="1" applyBorder="1" applyAlignment="1">
      <alignment horizontal="center" vertical="center"/>
    </xf>
    <xf numFmtId="0" fontId="15" fillId="0" borderId="94" xfId="38" applyFont="1" applyBorder="1" applyAlignment="1">
      <alignment horizontal="center" vertical="center"/>
    </xf>
    <xf numFmtId="0" fontId="15" fillId="0" borderId="97" xfId="38" applyFont="1" applyBorder="1" applyAlignment="1">
      <alignment horizontal="center" vertical="center"/>
    </xf>
    <xf numFmtId="0" fontId="36" fillId="0" borderId="13" xfId="38" applyFont="1" applyBorder="1" applyAlignment="1">
      <alignment horizontal="center" vertical="center" wrapText="1"/>
    </xf>
    <xf numFmtId="0" fontId="36" fillId="0" borderId="110" xfId="38" applyFont="1" applyBorder="1" applyAlignment="1">
      <alignment horizontal="center" vertical="center" wrapText="1"/>
    </xf>
    <xf numFmtId="0" fontId="36" fillId="0" borderId="28" xfId="38" applyFont="1" applyBorder="1" applyAlignment="1">
      <alignment horizontal="center" vertical="center" wrapText="1"/>
    </xf>
    <xf numFmtId="0" fontId="15" fillId="0" borderId="121" xfId="38" applyFont="1" applyBorder="1" applyAlignment="1">
      <alignment horizontal="center" vertical="center"/>
    </xf>
    <xf numFmtId="0" fontId="15" fillId="0" borderId="102" xfId="38" applyFont="1" applyBorder="1" applyAlignment="1">
      <alignment horizontal="center" vertical="center"/>
    </xf>
    <xf numFmtId="0" fontId="15" fillId="0" borderId="113" xfId="38" applyFont="1" applyBorder="1" applyAlignment="1">
      <alignment horizontal="center" vertical="center"/>
    </xf>
    <xf numFmtId="0" fontId="3" fillId="0" borderId="20" xfId="38" applyFont="1" applyBorder="1" applyAlignment="1">
      <alignment horizontal="center"/>
    </xf>
    <xf numFmtId="0" fontId="17" fillId="0" borderId="0" xfId="38" applyFont="1" applyAlignment="1">
      <alignment horizontal="left" vertical="center"/>
    </xf>
    <xf numFmtId="0" fontId="17" fillId="0" borderId="63" xfId="38" applyFont="1" applyBorder="1" applyAlignment="1">
      <alignment horizontal="left" vertical="center"/>
    </xf>
    <xf numFmtId="0" fontId="17" fillId="0" borderId="1" xfId="38" applyFont="1" applyBorder="1" applyAlignment="1">
      <alignment horizontal="center" vertical="center"/>
    </xf>
    <xf numFmtId="0" fontId="17" fillId="0" borderId="3" xfId="38" applyFont="1" applyBorder="1" applyAlignment="1">
      <alignment horizontal="center" vertical="center"/>
    </xf>
    <xf numFmtId="0" fontId="17" fillId="0" borderId="0" xfId="38" applyFont="1" applyAlignment="1">
      <alignment horizontal="center" vertical="center"/>
    </xf>
    <xf numFmtId="0" fontId="17" fillId="0" borderId="63" xfId="38" applyFont="1" applyBorder="1" applyAlignment="1">
      <alignment horizontal="center" vertical="center"/>
    </xf>
    <xf numFmtId="0" fontId="17" fillId="0" borderId="1" xfId="38" applyFont="1" applyBorder="1" applyAlignment="1">
      <alignment horizontal="center" vertical="center" wrapText="1"/>
    </xf>
    <xf numFmtId="0" fontId="17" fillId="0" borderId="2" xfId="38" applyFont="1" applyBorder="1" applyAlignment="1">
      <alignment horizontal="center" vertical="center" wrapText="1"/>
    </xf>
    <xf numFmtId="0" fontId="17" fillId="0" borderId="3" xfId="38" applyFont="1" applyBorder="1" applyAlignment="1">
      <alignment horizontal="center" vertical="center" wrapText="1"/>
    </xf>
    <xf numFmtId="49" fontId="35" fillId="0" borderId="11" xfId="38" applyNumberFormat="1" applyFont="1" applyBorder="1" applyAlignment="1">
      <alignment horizontal="left" vertical="center"/>
    </xf>
    <xf numFmtId="49" fontId="35" fillId="0" borderId="12" xfId="38" applyNumberFormat="1" applyFont="1" applyBorder="1" applyAlignment="1">
      <alignment horizontal="left" vertical="center"/>
    </xf>
    <xf numFmtId="49" fontId="35" fillId="0" borderId="29" xfId="38" applyNumberFormat="1" applyFont="1" applyBorder="1" applyAlignment="1">
      <alignment horizontal="left" vertical="center"/>
    </xf>
    <xf numFmtId="17" fontId="35" fillId="0" borderId="1" xfId="38" applyNumberFormat="1" applyFont="1" applyBorder="1" applyAlignment="1">
      <alignment horizontal="center" vertical="center"/>
    </xf>
    <xf numFmtId="17" fontId="35" fillId="0" borderId="3" xfId="38" applyNumberFormat="1" applyFont="1" applyBorder="1" applyAlignment="1">
      <alignment horizontal="center" vertical="center"/>
    </xf>
    <xf numFmtId="0" fontId="35" fillId="0" borderId="1" xfId="38" applyFont="1" applyBorder="1" applyAlignment="1">
      <alignment horizontal="center" vertical="center"/>
    </xf>
    <xf numFmtId="0" fontId="35" fillId="0" borderId="3" xfId="38" applyFont="1" applyBorder="1" applyAlignment="1">
      <alignment horizontal="center" vertical="center"/>
    </xf>
    <xf numFmtId="0" fontId="2" fillId="0" borderId="20" xfId="38" applyBorder="1" applyAlignment="1">
      <alignment horizontal="center"/>
    </xf>
    <xf numFmtId="0" fontId="29" fillId="0" borderId="0" xfId="38" applyFont="1" applyAlignment="1">
      <alignment horizontal="center" vertical="center"/>
    </xf>
    <xf numFmtId="0" fontId="10" fillId="0" borderId="0" xfId="38" applyFont="1" applyAlignment="1">
      <alignment horizontal="left" vertical="center"/>
    </xf>
    <xf numFmtId="0" fontId="17" fillId="0" borderId="65" xfId="38" applyFont="1" applyBorder="1" applyAlignment="1" applyProtection="1">
      <alignment horizontal="left" vertical="center"/>
      <protection locked="0"/>
    </xf>
    <xf numFmtId="49" fontId="1" fillId="0" borderId="20" xfId="38" applyNumberFormat="1" applyFont="1" applyBorder="1" applyAlignment="1" applyProtection="1">
      <alignment horizontal="left" vertical="center"/>
      <protection locked="0"/>
    </xf>
    <xf numFmtId="49" fontId="2" fillId="0" borderId="20" xfId="38" applyNumberFormat="1" applyBorder="1" applyAlignment="1" applyProtection="1">
      <alignment horizontal="left" vertical="center"/>
      <protection locked="0"/>
    </xf>
    <xf numFmtId="17" fontId="2" fillId="0" borderId="20" xfId="38" applyNumberFormat="1" applyBorder="1" applyAlignment="1" applyProtection="1">
      <alignment horizontal="center" vertical="center"/>
      <protection locked="0"/>
    </xf>
    <xf numFmtId="0" fontId="2" fillId="0" borderId="20" xfId="38" applyBorder="1" applyAlignment="1" applyProtection="1">
      <alignment horizontal="center" vertical="center"/>
      <protection locked="0"/>
    </xf>
    <xf numFmtId="0" fontId="32" fillId="0" borderId="20" xfId="38" applyFont="1" applyBorder="1" applyAlignment="1" applyProtection="1">
      <alignment horizontal="center" vertical="center"/>
      <protection locked="0"/>
    </xf>
    <xf numFmtId="0" fontId="34" fillId="0" borderId="13" xfId="38" applyFont="1" applyBorder="1" applyAlignment="1">
      <alignment horizontal="center" vertical="center" wrapText="1"/>
    </xf>
    <xf numFmtId="0" fontId="34" fillId="0" borderId="110" xfId="38" applyFont="1" applyBorder="1" applyAlignment="1">
      <alignment horizontal="center" vertical="center" wrapText="1"/>
    </xf>
    <xf numFmtId="0" fontId="34" fillId="0" borderId="28" xfId="38" applyFont="1" applyBorder="1" applyAlignment="1">
      <alignment horizontal="center" vertical="center" wrapText="1"/>
    </xf>
    <xf numFmtId="0" fontId="15" fillId="0" borderId="112" xfId="38" applyFont="1" applyBorder="1" applyAlignment="1">
      <alignment horizontal="center" vertical="center"/>
    </xf>
    <xf numFmtId="0" fontId="2" fillId="0" borderId="14" xfId="38" applyBorder="1" applyAlignment="1">
      <alignment horizontal="center"/>
    </xf>
    <xf numFmtId="0" fontId="28" fillId="0" borderId="0" xfId="38" applyFont="1" applyAlignment="1">
      <alignment horizontal="left"/>
    </xf>
    <xf numFmtId="0" fontId="17" fillId="0" borderId="65" xfId="38" applyFont="1" applyBorder="1" applyAlignment="1" applyProtection="1">
      <alignment horizontal="left" vertical="center" wrapText="1"/>
      <protection locked="0"/>
    </xf>
    <xf numFmtId="0" fontId="20" fillId="0" borderId="0" xfId="38" applyFont="1" applyAlignment="1">
      <alignment horizontal="left"/>
    </xf>
  </cellXfs>
  <cellStyles count="42">
    <cellStyle name="Besuchter Hyperlink" xfId="14" builtinId="9" hidden="1"/>
    <cellStyle name="Besuchter Hyperlink" xfId="18" builtinId="9" hidden="1"/>
    <cellStyle name="Besuchter Hyperlink" xfId="6" builtinId="9" hidden="1"/>
    <cellStyle name="Besuchter Hyperlink" xfId="12" builtinId="9" hidden="1"/>
    <cellStyle name="Besuchter Hyperlink" xfId="10" builtinId="9" hidden="1"/>
    <cellStyle name="Besuchter Hyperlink" xfId="16" builtinId="9" hidden="1"/>
    <cellStyle name="Besuchter Hyperlink" xfId="2" builtinId="9" hidden="1"/>
    <cellStyle name="Besuchter Hyperlink" xfId="4" builtinId="9" hidden="1"/>
    <cellStyle name="Besuchter Hyperlink" xfId="8" builtinId="9" hidden="1"/>
    <cellStyle name="Besuchter Hyperlink" xfId="36" builtinId="9" hidden="1"/>
    <cellStyle name="Besuchter Hyperlink" xfId="34" builtinId="9" hidden="1"/>
    <cellStyle name="Besuchter Hyperlink" xfId="22" builtinId="9" hidden="1"/>
    <cellStyle name="Besuchter Hyperlink" xfId="20" builtinId="9" hidden="1"/>
    <cellStyle name="Besuchter Hyperlink" xfId="24" builtinId="9" hidden="1"/>
    <cellStyle name="Besuchter Hyperlink" xfId="30" builtinId="9" hidden="1"/>
    <cellStyle name="Besuchter Hyperlink" xfId="28" builtinId="9" hidden="1"/>
    <cellStyle name="Besuchter Hyperlink" xfId="32" builtinId="9" hidden="1"/>
    <cellStyle name="Besuchter Hyperlink" xfId="26" builtinId="9" hidden="1"/>
    <cellStyle name="Komma" xfId="40" builtinId="3"/>
    <cellStyle name="Link" xfId="11" builtinId="8" hidden="1"/>
    <cellStyle name="Link" xfId="27" builtinId="8" hidden="1"/>
    <cellStyle name="Link" xfId="21" builtinId="8" hidden="1"/>
    <cellStyle name="Link" xfId="23" builtinId="8" hidden="1"/>
    <cellStyle name="Link" xfId="33" builtinId="8" hidden="1"/>
    <cellStyle name="Link" xfId="13" builtinId="8" hidden="1"/>
    <cellStyle name="Link" xfId="29" builtinId="8" hidden="1"/>
    <cellStyle name="Link" xfId="25" builtinId="8" hidden="1"/>
    <cellStyle name="Link" xfId="5" builtinId="8" hidden="1"/>
    <cellStyle name="Link" xfId="7" builtinId="8" hidden="1"/>
    <cellStyle name="Link" xfId="31" builtinId="8" hidden="1"/>
    <cellStyle name="Link" xfId="1" builtinId="8" hidden="1"/>
    <cellStyle name="Link" xfId="9" builtinId="8" hidden="1"/>
    <cellStyle name="Link" xfId="17" builtinId="8" hidden="1"/>
    <cellStyle name="Link" xfId="15" builtinId="8" hidden="1"/>
    <cellStyle name="Link" xfId="3" builtinId="8" hidden="1"/>
    <cellStyle name="Link" xfId="19" builtinId="8" hidden="1"/>
    <cellStyle name="Link" xfId="35" builtinId="8" hidden="1"/>
    <cellStyle name="Link" xfId="39" builtinId="8"/>
    <cellStyle name="Standard" xfId="0" builtinId="0"/>
    <cellStyle name="Standard 2" xfId="38" xr:uid="{00000000-0005-0000-0000-000027000000}"/>
    <cellStyle name="Standard 3" xfId="41" xr:uid="{8CE3B999-B5BB-4F99-BF4B-972DEBD5EF19}"/>
    <cellStyle name="Währung 2" xfId="37" xr:uid="{00000000-0005-0000-0000-000028000000}"/>
  </cellStyles>
  <dxfs count="44">
    <dxf>
      <font>
        <color theme="0"/>
      </font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69696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69696"/>
      </font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69696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69696"/>
      </font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69696"/>
      <color rgb="FF009FE3"/>
      <color rgb="FFBDBDBF"/>
      <color rgb="FF128F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801164</xdr:colOff>
      <xdr:row>0</xdr:row>
      <xdr:rowOff>50132</xdr:rowOff>
    </xdr:from>
    <xdr:to>
      <xdr:col>13</xdr:col>
      <xdr:colOff>0</xdr:colOff>
      <xdr:row>2</xdr:row>
      <xdr:rowOff>163831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6114" y="50132"/>
          <a:ext cx="627586" cy="6089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1514475</xdr:colOff>
      <xdr:row>1</xdr:row>
      <xdr:rowOff>314325</xdr:rowOff>
    </xdr:to>
    <xdr:pic>
      <xdr:nvPicPr>
        <xdr:cNvPr id="2" name="Grafik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8288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582386</xdr:colOff>
      <xdr:row>1</xdr:row>
      <xdr:rowOff>1904</xdr:rowOff>
    </xdr:from>
    <xdr:to>
      <xdr:col>9</xdr:col>
      <xdr:colOff>541837</xdr:colOff>
      <xdr:row>2</xdr:row>
      <xdr:rowOff>130727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49636" y="56333"/>
          <a:ext cx="551362" cy="6050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102940</xdr:colOff>
      <xdr:row>1</xdr:row>
      <xdr:rowOff>11137</xdr:rowOff>
    </xdr:from>
    <xdr:to>
      <xdr:col>13</xdr:col>
      <xdr:colOff>781288</xdr:colOff>
      <xdr:row>4</xdr:row>
      <xdr:rowOff>15240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540" y="134962"/>
          <a:ext cx="678348" cy="69942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582386</xdr:colOff>
      <xdr:row>1</xdr:row>
      <xdr:rowOff>1904</xdr:rowOff>
    </xdr:from>
    <xdr:to>
      <xdr:col>9</xdr:col>
      <xdr:colOff>541837</xdr:colOff>
      <xdr:row>2</xdr:row>
      <xdr:rowOff>130727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6CABC68-A2A7-4218-94EB-6206DC4FB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59161" y="59054"/>
          <a:ext cx="550001" cy="6050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102940</xdr:colOff>
      <xdr:row>1</xdr:row>
      <xdr:rowOff>11137</xdr:rowOff>
    </xdr:from>
    <xdr:to>
      <xdr:col>13</xdr:col>
      <xdr:colOff>781288</xdr:colOff>
      <xdr:row>4</xdr:row>
      <xdr:rowOff>15240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2EE3446-45F9-4F2C-A502-5A6465798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4565" y="134962"/>
          <a:ext cx="678348" cy="69942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1214803</xdr:colOff>
      <xdr:row>0</xdr:row>
      <xdr:rowOff>0</xdr:rowOff>
    </xdr:from>
    <xdr:to>
      <xdr:col>21</xdr:col>
      <xdr:colOff>1793630</xdr:colOff>
      <xdr:row>1</xdr:row>
      <xdr:rowOff>134611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473853" y="0"/>
          <a:ext cx="578827" cy="57276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26457</xdr:colOff>
      <xdr:row>0</xdr:row>
      <xdr:rowOff>0</xdr:rowOff>
    </xdr:from>
    <xdr:to>
      <xdr:col>7</xdr:col>
      <xdr:colOff>995679</xdr:colOff>
      <xdr:row>5</xdr:row>
      <xdr:rowOff>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36957" y="0"/>
          <a:ext cx="969222" cy="89968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701040</xdr:colOff>
      <xdr:row>2</xdr:row>
      <xdr:rowOff>53340</xdr:rowOff>
    </xdr:to>
    <xdr:pic>
      <xdr:nvPicPr>
        <xdr:cNvPr id="2" name="Grafik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8288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2</xdr:col>
      <xdr:colOff>685800</xdr:colOff>
      <xdr:row>2</xdr:row>
      <xdr:rowOff>59055</xdr:rowOff>
    </xdr:to>
    <xdr:pic>
      <xdr:nvPicPr>
        <xdr:cNvPr id="2" name="Grafik 6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828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foertel/Documents/Schatzmeister/OwnCloud/BLSV/Staatsmittel%20-%20Topf%201-6/&#214;ffentliche%20Mittel%20-%20Topf%201-5/Topf%201%20-%20S&amp;O,%20DL,%20TF/c)%20Talentf&#246;rderung_Mittelabruf/_Vorlagen/TN_Liste%20Lehrga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ilnehmer"/>
      <sheetName val="Betreuer"/>
      <sheetName val="SFVs"/>
    </sheetNames>
    <sheetDataSet>
      <sheetData sheetId="0"/>
      <sheetData sheetId="1"/>
      <sheetData sheetId="2">
        <row r="1">
          <cell r="A1" t="str">
            <v>5100 Aikido</v>
          </cell>
        </row>
        <row r="2">
          <cell r="A2" t="str">
            <v>5101 American Football</v>
          </cell>
        </row>
        <row r="3">
          <cell r="A3" t="str">
            <v>5102 Badminton</v>
          </cell>
        </row>
        <row r="4">
          <cell r="A4" t="str">
            <v>5104 Base- und Softball</v>
          </cell>
        </row>
        <row r="5">
          <cell r="A5" t="str">
            <v>5105 Basketball</v>
          </cell>
        </row>
        <row r="6">
          <cell r="A6" t="str">
            <v>5106 Behinderten- und Rehasport</v>
          </cell>
        </row>
        <row r="7">
          <cell r="A7" t="str">
            <v>5107 Billard</v>
          </cell>
        </row>
        <row r="8">
          <cell r="A8" t="str">
            <v>5108 Bob- und Schlittensport</v>
          </cell>
        </row>
        <row r="9">
          <cell r="A9" t="str">
            <v>5109 Boxen</v>
          </cell>
        </row>
        <row r="10">
          <cell r="A10" t="str">
            <v>5110 Dart</v>
          </cell>
        </row>
        <row r="11">
          <cell r="A11" t="str">
            <v>5157 Einrad</v>
          </cell>
        </row>
        <row r="12">
          <cell r="A12" t="str">
            <v>5112 Eissport</v>
          </cell>
        </row>
        <row r="13">
          <cell r="A13" t="str">
            <v>5113 Fechten</v>
          </cell>
        </row>
        <row r="14">
          <cell r="A14" t="str">
            <v>5114 Fußball</v>
          </cell>
        </row>
        <row r="15">
          <cell r="A15" t="str">
            <v>5115 Gehörlose</v>
          </cell>
        </row>
        <row r="16">
          <cell r="A16" t="str">
            <v>5116 Gewichtheben</v>
          </cell>
        </row>
        <row r="17">
          <cell r="A17" t="str">
            <v>5117 Golf</v>
          </cell>
        </row>
        <row r="18">
          <cell r="A18" t="str">
            <v>5118 Handball</v>
          </cell>
        </row>
        <row r="19">
          <cell r="A19" t="str">
            <v>5119 Hockey</v>
          </cell>
        </row>
        <row r="20">
          <cell r="A20" t="str">
            <v>5121 Judo</v>
          </cell>
        </row>
        <row r="21">
          <cell r="A21" t="str">
            <v>5120 Ju-Jutsu</v>
          </cell>
        </row>
        <row r="22">
          <cell r="A22" t="str">
            <v>5122 Kanusport</v>
          </cell>
        </row>
        <row r="23">
          <cell r="A23" t="str">
            <v>5123 Karate</v>
          </cell>
        </row>
        <row r="24">
          <cell r="A24" t="str">
            <v>5124 Kegeln u. Bowling</v>
          </cell>
        </row>
        <row r="25">
          <cell r="A25" t="str">
            <v>Kickboxen</v>
          </cell>
        </row>
        <row r="26">
          <cell r="A26" t="str">
            <v>5154 Klettern, Sport- u. Wettkampfklettern</v>
          </cell>
        </row>
        <row r="27">
          <cell r="A27" t="str">
            <v>5125 Leichtathletik</v>
          </cell>
        </row>
        <row r="28">
          <cell r="A28" t="str">
            <v>5126 Luftsport</v>
          </cell>
        </row>
        <row r="29">
          <cell r="A29" t="str">
            <v>5103 Minigolf</v>
          </cell>
        </row>
        <row r="30">
          <cell r="A30" t="str">
            <v>5127 Moderner Fünfkampf</v>
          </cell>
        </row>
        <row r="31">
          <cell r="A31" t="str">
            <v>5128 Motorsport</v>
          </cell>
        </row>
        <row r="32">
          <cell r="A32" t="str">
            <v>5129 Motor-Wassersport, Motoryacht</v>
          </cell>
        </row>
        <row r="33">
          <cell r="A33" t="str">
            <v>5130 Radsport</v>
          </cell>
        </row>
        <row r="34">
          <cell r="A34" t="str">
            <v>5131 Rasenkraftsport u. Tauziehen</v>
          </cell>
        </row>
        <row r="35">
          <cell r="A35" t="str">
            <v>5132 Reiten, Reitsport</v>
          </cell>
        </row>
        <row r="36">
          <cell r="A36" t="str">
            <v>5133 Ringen</v>
          </cell>
        </row>
        <row r="37">
          <cell r="A37" t="str">
            <v>5134 RKB Solidarität</v>
          </cell>
        </row>
        <row r="38">
          <cell r="A38" t="str">
            <v>5135 Rollsport - Inline</v>
          </cell>
        </row>
        <row r="39">
          <cell r="A39" t="str">
            <v>5136 Rudern</v>
          </cell>
        </row>
        <row r="40">
          <cell r="A40" t="str">
            <v>5137 Schach</v>
          </cell>
        </row>
        <row r="41">
          <cell r="A41" t="str">
            <v>5138 Schlittenhunde</v>
          </cell>
        </row>
        <row r="42">
          <cell r="A42" t="str">
            <v>5139 Schwimmen</v>
          </cell>
        </row>
        <row r="43">
          <cell r="A43" t="str">
            <v>5140 Segeln</v>
          </cell>
        </row>
        <row r="44">
          <cell r="A44" t="str">
            <v>5141 Skibob</v>
          </cell>
        </row>
        <row r="45">
          <cell r="A45" t="str">
            <v>5142 Skisport</v>
          </cell>
        </row>
        <row r="46">
          <cell r="A46" t="str">
            <v>5144 Squash</v>
          </cell>
        </row>
        <row r="47">
          <cell r="A47" t="str">
            <v>5145 Taekwondo</v>
          </cell>
        </row>
        <row r="48">
          <cell r="A48" t="str">
            <v>5146 Tanzsport, Tanzen</v>
          </cell>
        </row>
        <row r="49">
          <cell r="A49" t="str">
            <v>5147 Tauchen</v>
          </cell>
        </row>
        <row r="50">
          <cell r="A50" t="str">
            <v>5148 Tennis</v>
          </cell>
        </row>
        <row r="51">
          <cell r="A51" t="str">
            <v>5149 Tischtennis</v>
          </cell>
        </row>
        <row r="52">
          <cell r="A52" t="str">
            <v>5150 Triathlon</v>
          </cell>
        </row>
        <row r="53">
          <cell r="A53" t="str">
            <v>5152 Turnen (incl. Sportakrobatik)</v>
          </cell>
        </row>
        <row r="54">
          <cell r="A54" t="str">
            <v>5151 Turnspiele</v>
          </cell>
        </row>
        <row r="55">
          <cell r="A55" t="str">
            <v>5153 Volleyball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cloud.badminton.de/index.php/s/bDxKig8epemzMQN" TargetMode="External"/><Relationship Id="rId2" Type="http://schemas.openxmlformats.org/officeDocument/2006/relationships/hyperlink" Target="http://www.badminton-bbv.de/site/files-for-download/funktionaer-formulare/Best%C3%A4tigung_%C3%9CLeiPauschale.doc" TargetMode="External"/><Relationship Id="rId1" Type="http://schemas.openxmlformats.org/officeDocument/2006/relationships/hyperlink" Target="http://www.badminton-bbv.de/site/files-for-download/funktionaer-formulare/Best%C3%A4tigung_Selbst%C3%A4ndige.doc" TargetMode="External"/><Relationship Id="rId4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B0F0"/>
    <pageSetUpPr fitToPage="1"/>
  </sheetPr>
  <dimension ref="A1:AI123"/>
  <sheetViews>
    <sheetView showGridLines="0" topLeftCell="A28" zoomScaleNormal="100" zoomScaleSheetLayoutView="110" workbookViewId="0">
      <selection activeCell="M56" sqref="M56"/>
    </sheetView>
  </sheetViews>
  <sheetFormatPr baseColWidth="10" defaultColWidth="10.85546875" defaultRowHeight="14.25"/>
  <cols>
    <col min="1" max="1" width="9.85546875" style="122" customWidth="1"/>
    <col min="2" max="2" width="12" style="122" customWidth="1"/>
    <col min="3" max="5" width="6.85546875" style="122" customWidth="1"/>
    <col min="6" max="6" width="9.140625" style="122" customWidth="1"/>
    <col min="7" max="7" width="10.140625" style="122" customWidth="1"/>
    <col min="8" max="8" width="4.140625" style="122" customWidth="1"/>
    <col min="9" max="9" width="12.140625" style="122" customWidth="1"/>
    <col min="10" max="11" width="1" style="122" customWidth="1"/>
    <col min="12" max="12" width="12" style="122" customWidth="1"/>
    <col min="13" max="13" width="8.85546875" style="122" customWidth="1"/>
    <col min="14" max="14" width="1.7109375" style="122" customWidth="1"/>
    <col min="15" max="16384" width="10.85546875" style="122"/>
  </cols>
  <sheetData>
    <row r="1" spans="1:24" ht="5.0999999999999996" customHeight="1"/>
    <row r="2" spans="1:24" ht="37.5">
      <c r="A2" s="161"/>
      <c r="B2" s="557" t="s">
        <v>321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161"/>
      <c r="N2" s="161"/>
    </row>
    <row r="3" spans="1:24">
      <c r="C3" s="191" t="s">
        <v>256</v>
      </c>
      <c r="D3" s="192"/>
      <c r="E3" s="191" t="e">
        <f>VLOOKUP(O84,D106:F113,2,FALSE)</f>
        <v>#N/A</v>
      </c>
      <c r="I3" s="164"/>
      <c r="K3" s="417" t="s">
        <v>337</v>
      </c>
      <c r="L3" s="123" t="s">
        <v>435</v>
      </c>
    </row>
    <row r="4" spans="1:24" ht="12.75" customHeight="1"/>
    <row r="5" spans="1:24" ht="15.75" customHeight="1">
      <c r="A5" s="194" t="s">
        <v>239</v>
      </c>
      <c r="B5" s="195"/>
      <c r="C5" s="539"/>
      <c r="D5" s="540"/>
      <c r="E5" s="540"/>
      <c r="F5" s="540"/>
      <c r="G5" s="540"/>
      <c r="H5" s="540"/>
      <c r="I5" s="540"/>
      <c r="J5" s="540"/>
      <c r="K5" s="540"/>
      <c r="L5" s="456" t="s">
        <v>314</v>
      </c>
      <c r="M5" s="455"/>
    </row>
    <row r="6" spans="1:24" ht="15.75" hidden="1" customHeight="1" thickBot="1">
      <c r="A6" s="196" t="s">
        <v>186</v>
      </c>
      <c r="B6" s="197"/>
      <c r="C6" s="198" t="s">
        <v>77</v>
      </c>
      <c r="D6" s="601" t="s">
        <v>187</v>
      </c>
      <c r="E6" s="602"/>
      <c r="F6" s="602"/>
      <c r="G6" s="602"/>
      <c r="H6" s="602"/>
      <c r="I6" s="602"/>
      <c r="J6" s="602"/>
      <c r="K6" s="603"/>
      <c r="L6" s="199" t="str">
        <f>IF(O86="Ja!","LfK oK?","")</f>
        <v/>
      </c>
      <c r="M6" s="454" t="str">
        <f>IF(O86="Ja!","","XXX")</f>
        <v>XXX</v>
      </c>
    </row>
    <row r="7" spans="1:24" ht="15.75" customHeight="1">
      <c r="A7" s="196" t="s">
        <v>8</v>
      </c>
      <c r="B7" s="197"/>
      <c r="C7" s="610"/>
      <c r="D7" s="611"/>
      <c r="E7" s="612"/>
      <c r="F7" s="201" t="s">
        <v>180</v>
      </c>
      <c r="G7" s="613"/>
      <c r="H7" s="614"/>
      <c r="I7" s="614"/>
      <c r="J7" s="614"/>
      <c r="K7" s="614"/>
      <c r="L7" s="614"/>
      <c r="M7" s="615"/>
    </row>
    <row r="8" spans="1:24" ht="15.75" customHeight="1">
      <c r="A8" s="196" t="s">
        <v>261</v>
      </c>
      <c r="B8" s="197"/>
      <c r="C8" s="559" t="s">
        <v>196</v>
      </c>
      <c r="D8" s="559"/>
      <c r="E8" s="559"/>
      <c r="F8" s="559"/>
      <c r="G8" s="560"/>
      <c r="H8" s="560"/>
      <c r="I8" s="560"/>
      <c r="J8" s="560"/>
      <c r="K8" s="560"/>
      <c r="L8" s="560"/>
      <c r="M8" s="561"/>
    </row>
    <row r="9" spans="1:24" ht="15.75" customHeight="1">
      <c r="A9" s="196" t="s">
        <v>265</v>
      </c>
      <c r="B9" s="197"/>
      <c r="C9" s="559"/>
      <c r="D9" s="559"/>
      <c r="E9" s="559"/>
      <c r="F9" s="559"/>
      <c r="G9" s="560"/>
      <c r="H9" s="560"/>
      <c r="I9" s="560"/>
      <c r="J9" s="560"/>
      <c r="K9" s="560"/>
      <c r="L9" s="560"/>
      <c r="M9" s="561"/>
    </row>
    <row r="10" spans="1:24" ht="15.75" customHeight="1">
      <c r="A10" s="196" t="s">
        <v>266</v>
      </c>
      <c r="B10" s="197"/>
      <c r="C10" s="198" t="s">
        <v>77</v>
      </c>
      <c r="D10" s="604" t="s">
        <v>315</v>
      </c>
      <c r="E10" s="605"/>
      <c r="F10" s="606"/>
      <c r="G10" s="202" t="str">
        <f>IF(C10="X","","Name:")</f>
        <v>Name:</v>
      </c>
      <c r="H10" s="607" t="s">
        <v>411</v>
      </c>
      <c r="I10" s="608"/>
      <c r="J10" s="608"/>
      <c r="K10" s="608"/>
      <c r="L10" s="608"/>
      <c r="M10" s="609"/>
    </row>
    <row r="11" spans="1:24" ht="15.75" customHeight="1">
      <c r="A11" s="203" t="s">
        <v>182</v>
      </c>
      <c r="B11" s="204"/>
      <c r="C11" s="541" t="s">
        <v>347</v>
      </c>
      <c r="D11" s="541"/>
      <c r="E11" s="541"/>
      <c r="F11" s="541"/>
      <c r="G11" s="542"/>
      <c r="H11" s="542"/>
      <c r="I11" s="542"/>
      <c r="J11" s="542"/>
      <c r="K11" s="542"/>
      <c r="L11" s="542"/>
      <c r="M11" s="543"/>
      <c r="O11" s="192"/>
      <c r="P11" s="192"/>
      <c r="Q11" s="192"/>
      <c r="R11" s="192"/>
      <c r="S11" s="192"/>
      <c r="T11" s="192"/>
      <c r="U11" s="192"/>
      <c r="V11" s="192"/>
      <c r="W11" s="192"/>
      <c r="X11" s="192"/>
    </row>
    <row r="12" spans="1:24" ht="8.25" customHeight="1">
      <c r="A12" s="205"/>
      <c r="B12" s="205"/>
      <c r="C12" s="206"/>
      <c r="D12" s="206"/>
      <c r="E12" s="206"/>
      <c r="F12" s="206"/>
      <c r="O12" s="192"/>
      <c r="P12" s="192"/>
      <c r="Q12" s="192"/>
      <c r="R12" s="192"/>
      <c r="S12" s="192"/>
      <c r="T12" s="192"/>
      <c r="U12" s="192"/>
      <c r="V12" s="192"/>
      <c r="W12" s="192"/>
      <c r="X12" s="192"/>
    </row>
    <row r="13" spans="1:24" ht="23.25" customHeight="1">
      <c r="A13" s="567" t="str">
        <f>IF(AND(O91="Ja!",I60&lt;&gt;0),P91,"")</f>
        <v/>
      </c>
      <c r="B13" s="568"/>
      <c r="C13" s="568"/>
      <c r="D13" s="568"/>
      <c r="E13" s="568"/>
      <c r="F13" s="568"/>
      <c r="G13" s="568"/>
      <c r="H13" s="568"/>
      <c r="I13" s="132"/>
      <c r="J13" s="207"/>
      <c r="K13" s="132"/>
      <c r="L13" s="616" t="s">
        <v>221</v>
      </c>
      <c r="M13" s="617"/>
      <c r="O13" s="192"/>
      <c r="P13" s="192"/>
      <c r="Q13" s="192"/>
      <c r="R13" s="192"/>
      <c r="S13" s="192"/>
      <c r="T13" s="192"/>
      <c r="U13" s="192"/>
      <c r="V13" s="192"/>
      <c r="W13" s="192"/>
      <c r="X13" s="192"/>
    </row>
    <row r="14" spans="1:24" ht="15" customHeight="1">
      <c r="A14" s="208"/>
      <c r="B14" s="205"/>
      <c r="C14" s="206"/>
      <c r="D14" s="206"/>
      <c r="E14" s="206"/>
      <c r="F14" s="562" t="s">
        <v>238</v>
      </c>
      <c r="G14" s="563"/>
      <c r="I14" s="132" t="s">
        <v>193</v>
      </c>
      <c r="J14" s="207"/>
      <c r="K14" s="132"/>
      <c r="L14" s="209" t="s">
        <v>8</v>
      </c>
      <c r="M14" s="210" t="s">
        <v>188</v>
      </c>
      <c r="O14" s="192"/>
      <c r="P14" s="192"/>
      <c r="Q14" s="192"/>
      <c r="R14" s="192"/>
      <c r="S14" s="192"/>
      <c r="T14" s="192"/>
      <c r="U14" s="192"/>
      <c r="V14" s="192"/>
      <c r="W14" s="192"/>
      <c r="X14" s="192"/>
    </row>
    <row r="15" spans="1:24" ht="3.75" customHeight="1">
      <c r="A15" s="211"/>
      <c r="B15" s="211"/>
      <c r="C15" s="212"/>
      <c r="D15" s="212"/>
      <c r="E15" s="212"/>
      <c r="F15" s="212"/>
      <c r="G15" s="213"/>
      <c r="H15" s="213"/>
      <c r="I15" s="213"/>
      <c r="J15" s="214"/>
      <c r="K15" s="213"/>
      <c r="L15" s="213"/>
      <c r="M15" s="213"/>
      <c r="O15" s="192"/>
      <c r="P15" s="192"/>
      <c r="Q15" s="192"/>
      <c r="R15" s="192"/>
      <c r="S15" s="192"/>
      <c r="T15" s="192"/>
      <c r="U15" s="192"/>
      <c r="V15" s="192"/>
      <c r="W15" s="192"/>
      <c r="X15" s="192"/>
    </row>
    <row r="16" spans="1:24" ht="3.75" customHeight="1">
      <c r="A16" s="215"/>
      <c r="B16" s="215"/>
      <c r="C16" s="206"/>
      <c r="D16" s="206"/>
      <c r="E16" s="206"/>
      <c r="F16" s="206"/>
      <c r="J16" s="216"/>
      <c r="O16" s="192"/>
      <c r="P16" s="192"/>
      <c r="Q16" s="192"/>
      <c r="R16" s="192"/>
      <c r="S16" s="192"/>
      <c r="T16" s="192"/>
      <c r="U16" s="192"/>
      <c r="V16" s="192"/>
      <c r="W16" s="192"/>
      <c r="X16" s="192"/>
    </row>
    <row r="17" spans="1:24" ht="15.75" customHeight="1" thickBot="1">
      <c r="A17" s="208" t="s">
        <v>265</v>
      </c>
      <c r="B17" s="205"/>
      <c r="C17" s="206"/>
      <c r="D17" s="206"/>
      <c r="E17" s="206"/>
      <c r="F17" s="206"/>
      <c r="J17" s="216"/>
      <c r="O17" s="192"/>
      <c r="P17" s="192"/>
      <c r="Q17" s="192"/>
      <c r="R17" s="192"/>
      <c r="S17" s="192"/>
      <c r="T17" s="192"/>
      <c r="U17" s="192"/>
      <c r="V17" s="192"/>
      <c r="W17" s="192"/>
      <c r="X17" s="192"/>
    </row>
    <row r="18" spans="1:24" ht="15.75" customHeight="1" thickBot="1">
      <c r="A18" s="217" t="s">
        <v>230</v>
      </c>
      <c r="B18" s="215"/>
      <c r="C18" s="206"/>
      <c r="D18" s="206"/>
      <c r="E18" s="206"/>
      <c r="F18" s="546"/>
      <c r="G18" s="547"/>
      <c r="J18" s="216"/>
      <c r="L18" s="218"/>
      <c r="M18" s="219"/>
      <c r="O18" s="192"/>
      <c r="P18" s="192"/>
      <c r="Q18" s="192"/>
      <c r="R18" s="192"/>
      <c r="S18" s="192"/>
      <c r="T18" s="192"/>
      <c r="U18" s="192"/>
      <c r="V18" s="192"/>
      <c r="W18" s="192"/>
      <c r="X18" s="192"/>
    </row>
    <row r="19" spans="1:24" ht="15.75" customHeight="1" thickBot="1">
      <c r="A19" s="217" t="s">
        <v>185</v>
      </c>
      <c r="B19" s="215"/>
      <c r="C19" s="206"/>
      <c r="D19" s="206"/>
      <c r="E19" s="206"/>
      <c r="F19" s="546"/>
      <c r="G19" s="547"/>
      <c r="J19" s="216"/>
      <c r="L19" s="220"/>
      <c r="M19" s="218"/>
      <c r="O19" s="192"/>
      <c r="P19" s="192"/>
      <c r="Q19" s="192"/>
      <c r="R19" s="192"/>
      <c r="S19" s="192"/>
      <c r="T19" s="192"/>
      <c r="U19" s="192"/>
      <c r="V19" s="192"/>
      <c r="W19" s="192"/>
      <c r="X19" s="192"/>
    </row>
    <row r="20" spans="1:24" ht="15.75" customHeight="1" thickBot="1">
      <c r="A20" s="217" t="s">
        <v>89</v>
      </c>
      <c r="B20" s="215"/>
      <c r="C20" s="206"/>
      <c r="D20" s="206"/>
      <c r="E20" s="206"/>
      <c r="F20" s="546"/>
      <c r="G20" s="547"/>
      <c r="J20" s="216"/>
      <c r="L20" s="441" t="s">
        <v>345</v>
      </c>
      <c r="M20" s="218"/>
      <c r="O20" s="192"/>
      <c r="P20" s="192"/>
      <c r="Q20" s="192"/>
      <c r="R20" s="192"/>
      <c r="S20" s="192"/>
      <c r="T20" s="192"/>
      <c r="U20" s="192"/>
      <c r="V20" s="192"/>
      <c r="W20" s="192"/>
      <c r="X20" s="192"/>
    </row>
    <row r="21" spans="1:24" ht="5.25" customHeight="1">
      <c r="A21" s="217"/>
      <c r="B21" s="215"/>
      <c r="C21" s="206"/>
      <c r="D21" s="206"/>
      <c r="E21" s="206"/>
      <c r="F21" s="206"/>
      <c r="J21" s="216"/>
      <c r="L21" s="128"/>
      <c r="O21" s="192"/>
      <c r="P21" s="192"/>
      <c r="Q21" s="192"/>
      <c r="R21" s="192"/>
      <c r="S21" s="192"/>
      <c r="T21" s="192"/>
      <c r="U21" s="192"/>
      <c r="V21" s="192"/>
      <c r="W21" s="192"/>
      <c r="X21" s="192"/>
    </row>
    <row r="22" spans="1:24" ht="15.75" customHeight="1" thickBot="1">
      <c r="A22" s="221" t="s">
        <v>192</v>
      </c>
      <c r="B22" s="215"/>
      <c r="C22" s="206"/>
      <c r="D22" s="206"/>
      <c r="E22" s="206"/>
      <c r="F22" s="206"/>
      <c r="J22" s="216"/>
      <c r="L22" s="128"/>
      <c r="O22" s="192"/>
      <c r="P22" s="192"/>
      <c r="Q22" s="192"/>
      <c r="R22" s="192"/>
      <c r="S22" s="192"/>
      <c r="T22" s="192"/>
      <c r="U22" s="192"/>
      <c r="V22" s="192"/>
      <c r="W22" s="192"/>
      <c r="X22" s="192"/>
    </row>
    <row r="23" spans="1:24" ht="15.75" customHeight="1" thickBot="1">
      <c r="A23" s="222" t="s">
        <v>209</v>
      </c>
      <c r="B23" s="544"/>
      <c r="C23" s="545"/>
      <c r="D23" s="223"/>
      <c r="E23" s="224"/>
      <c r="F23" s="546"/>
      <c r="G23" s="547"/>
      <c r="J23" s="216"/>
      <c r="L23" s="220"/>
      <c r="M23" s="218"/>
      <c r="O23" s="192"/>
      <c r="P23" s="192"/>
      <c r="Q23" s="192"/>
      <c r="R23" s="192"/>
      <c r="S23" s="192"/>
      <c r="T23" s="192"/>
      <c r="U23" s="192"/>
      <c r="V23" s="192"/>
      <c r="W23" s="192"/>
      <c r="X23" s="192"/>
    </row>
    <row r="24" spans="1:24" ht="15.75" customHeight="1" thickBot="1">
      <c r="A24" s="222" t="s">
        <v>209</v>
      </c>
      <c r="B24" s="544"/>
      <c r="C24" s="545"/>
      <c r="D24" s="223"/>
      <c r="E24" s="224"/>
      <c r="F24" s="546"/>
      <c r="G24" s="547"/>
      <c r="J24" s="216"/>
      <c r="L24" s="220"/>
      <c r="M24" s="218"/>
      <c r="O24" s="192"/>
      <c r="P24" s="192"/>
      <c r="Q24" s="192"/>
      <c r="R24" s="192"/>
      <c r="S24" s="192"/>
      <c r="T24" s="192"/>
      <c r="U24" s="192"/>
      <c r="V24" s="192"/>
      <c r="W24" s="192"/>
      <c r="X24" s="192"/>
    </row>
    <row r="25" spans="1:24" ht="15.75" customHeight="1" thickBot="1">
      <c r="A25" s="222" t="s">
        <v>209</v>
      </c>
      <c r="B25" s="544"/>
      <c r="C25" s="545"/>
      <c r="D25" s="223"/>
      <c r="E25" s="224"/>
      <c r="F25" s="546"/>
      <c r="G25" s="547"/>
      <c r="J25" s="216"/>
      <c r="L25" s="220"/>
      <c r="M25" s="218"/>
      <c r="O25" s="192"/>
      <c r="P25" s="192"/>
      <c r="Q25" s="192"/>
      <c r="R25" s="192"/>
      <c r="S25" s="192"/>
      <c r="T25" s="192"/>
      <c r="U25" s="192"/>
      <c r="V25" s="192"/>
      <c r="W25" s="192"/>
      <c r="X25" s="192"/>
    </row>
    <row r="26" spans="1:24" ht="15.75" customHeight="1" thickBot="1">
      <c r="A26" s="222" t="s">
        <v>209</v>
      </c>
      <c r="B26" s="544"/>
      <c r="C26" s="545"/>
      <c r="D26" s="223"/>
      <c r="E26" s="224"/>
      <c r="F26" s="546"/>
      <c r="G26" s="547"/>
      <c r="J26" s="216"/>
      <c r="L26" s="220"/>
      <c r="M26" s="218"/>
      <c r="O26" s="192"/>
      <c r="P26" s="192"/>
      <c r="Q26" s="192"/>
      <c r="R26" s="192"/>
      <c r="S26" s="192"/>
      <c r="T26" s="192"/>
      <c r="U26" s="192"/>
      <c r="V26" s="192"/>
      <c r="W26" s="192"/>
      <c r="X26" s="192"/>
    </row>
    <row r="27" spans="1:24" ht="15.75" customHeight="1" thickBot="1">
      <c r="A27" s="222" t="s">
        <v>209</v>
      </c>
      <c r="B27" s="544"/>
      <c r="C27" s="545"/>
      <c r="D27" s="223"/>
      <c r="E27" s="224"/>
      <c r="F27" s="546"/>
      <c r="G27" s="547"/>
      <c r="J27" s="216"/>
      <c r="L27" s="220"/>
      <c r="M27" s="218"/>
      <c r="O27" s="192"/>
      <c r="P27" s="192"/>
      <c r="Q27" s="192"/>
      <c r="R27" s="192"/>
      <c r="S27" s="192"/>
      <c r="T27" s="192"/>
      <c r="U27" s="192"/>
      <c r="V27" s="192"/>
      <c r="W27" s="192"/>
      <c r="X27" s="192"/>
    </row>
    <row r="28" spans="1:24" ht="6" customHeight="1" thickBot="1">
      <c r="A28" s="215"/>
      <c r="B28" s="215"/>
      <c r="C28" s="206"/>
      <c r="D28" s="206"/>
      <c r="E28" s="206"/>
      <c r="F28" s="206"/>
      <c r="J28" s="216"/>
      <c r="O28" s="192"/>
      <c r="P28" s="192"/>
      <c r="Q28" s="192"/>
      <c r="R28" s="192"/>
      <c r="S28" s="192"/>
      <c r="T28" s="192"/>
      <c r="U28" s="192"/>
      <c r="V28" s="192"/>
      <c r="W28" s="192"/>
      <c r="X28" s="192"/>
    </row>
    <row r="29" spans="1:24" ht="15.75" customHeight="1" thickBot="1">
      <c r="A29" s="215"/>
      <c r="B29" s="215"/>
      <c r="C29" s="206"/>
      <c r="D29" s="206"/>
      <c r="E29" s="206"/>
      <c r="F29" s="564" t="str">
        <f>IF(I29&lt;0,"Rückforderung!","")</f>
        <v/>
      </c>
      <c r="G29" s="565"/>
      <c r="H29" s="566"/>
      <c r="I29" s="225">
        <f>SUM(F23:G27)+F20+F19-F18</f>
        <v>0</v>
      </c>
      <c r="J29" s="216"/>
      <c r="L29" s="218"/>
      <c r="O29" s="192"/>
      <c r="P29" s="192"/>
      <c r="Q29" s="192"/>
      <c r="R29" s="192"/>
      <c r="S29" s="192"/>
      <c r="T29" s="192"/>
      <c r="U29" s="192"/>
      <c r="V29" s="192"/>
      <c r="W29" s="192"/>
      <c r="X29" s="192"/>
    </row>
    <row r="30" spans="1:24" ht="3.75" customHeight="1">
      <c r="A30" s="211"/>
      <c r="B30" s="211"/>
      <c r="C30" s="212"/>
      <c r="D30" s="212"/>
      <c r="E30" s="212"/>
      <c r="F30" s="212"/>
      <c r="G30" s="213"/>
      <c r="H30" s="213"/>
      <c r="I30" s="213"/>
      <c r="J30" s="214"/>
      <c r="K30" s="213"/>
      <c r="L30" s="213"/>
      <c r="M30" s="213"/>
      <c r="O30" s="192"/>
      <c r="P30" s="192"/>
      <c r="Q30" s="192"/>
      <c r="R30" s="192"/>
      <c r="S30" s="192"/>
      <c r="T30" s="192"/>
      <c r="U30" s="192"/>
      <c r="V30" s="192"/>
      <c r="W30" s="192"/>
      <c r="X30" s="192"/>
    </row>
    <row r="31" spans="1:24" ht="3.75" customHeight="1">
      <c r="A31" s="215"/>
      <c r="B31" s="215"/>
      <c r="C31" s="206"/>
      <c r="D31" s="206"/>
      <c r="E31" s="206"/>
      <c r="F31" s="206"/>
      <c r="J31" s="216"/>
      <c r="O31" s="192"/>
      <c r="P31" s="192"/>
      <c r="Q31" s="192"/>
      <c r="R31" s="192"/>
      <c r="S31" s="192"/>
      <c r="T31" s="192"/>
      <c r="U31" s="192"/>
      <c r="V31" s="192"/>
      <c r="W31" s="192"/>
      <c r="X31" s="192"/>
    </row>
    <row r="32" spans="1:24" ht="15.75" customHeight="1" thickBot="1">
      <c r="A32" s="208" t="s">
        <v>267</v>
      </c>
      <c r="B32" s="205"/>
      <c r="C32" s="206"/>
      <c r="D32" s="206"/>
      <c r="E32" s="206"/>
      <c r="F32" s="206"/>
      <c r="J32" s="216"/>
      <c r="O32" s="192"/>
      <c r="P32" s="192"/>
      <c r="Q32" s="192"/>
      <c r="R32" s="192"/>
      <c r="S32" s="192"/>
      <c r="T32" s="192"/>
      <c r="U32" s="192"/>
      <c r="V32" s="192"/>
      <c r="W32" s="192"/>
      <c r="X32" s="192"/>
    </row>
    <row r="33" spans="1:24" ht="15.75" customHeight="1" thickBot="1">
      <c r="A33" s="548" t="s">
        <v>76</v>
      </c>
      <c r="B33" s="549"/>
      <c r="C33" s="550"/>
      <c r="D33" s="215" t="s">
        <v>297</v>
      </c>
      <c r="E33" s="215"/>
      <c r="F33" s="546"/>
      <c r="G33" s="547"/>
      <c r="J33" s="216"/>
      <c r="L33" s="220"/>
      <c r="M33" s="218"/>
      <c r="O33" s="192"/>
      <c r="P33" s="192"/>
      <c r="Q33" s="192"/>
      <c r="R33" s="192"/>
      <c r="S33" s="192"/>
      <c r="T33" s="192"/>
      <c r="U33" s="192"/>
      <c r="V33" s="192"/>
      <c r="W33" s="192"/>
      <c r="X33" s="192"/>
    </row>
    <row r="34" spans="1:24" ht="15.75" customHeight="1" thickBot="1">
      <c r="A34" s="551"/>
      <c r="B34" s="552"/>
      <c r="C34" s="553"/>
      <c r="D34" s="215" t="s">
        <v>185</v>
      </c>
      <c r="E34" s="215"/>
      <c r="F34" s="546"/>
      <c r="G34" s="547"/>
      <c r="J34" s="216"/>
      <c r="L34" s="220"/>
      <c r="M34" s="218"/>
      <c r="O34" s="192"/>
      <c r="P34" s="192"/>
      <c r="Q34" s="192"/>
      <c r="R34" s="192"/>
      <c r="S34" s="192"/>
      <c r="T34" s="192"/>
      <c r="U34" s="192"/>
      <c r="V34" s="192"/>
      <c r="W34" s="192"/>
      <c r="X34" s="192"/>
    </row>
    <row r="35" spans="1:24" ht="15.75" customHeight="1" thickBot="1">
      <c r="A35" s="554" t="s">
        <v>412</v>
      </c>
      <c r="B35" s="555"/>
      <c r="C35" s="556"/>
      <c r="D35" s="215" t="s">
        <v>89</v>
      </c>
      <c r="E35" s="215"/>
      <c r="F35" s="546"/>
      <c r="G35" s="547"/>
      <c r="I35" s="225">
        <f>F33+F35+F34</f>
        <v>0</v>
      </c>
      <c r="J35" s="216"/>
      <c r="L35" s="441" t="s">
        <v>345</v>
      </c>
      <c r="M35" s="218"/>
      <c r="O35" s="192"/>
      <c r="P35" s="192"/>
      <c r="Q35" s="192"/>
      <c r="R35" s="192"/>
      <c r="S35" s="192"/>
      <c r="T35" s="192"/>
      <c r="U35" s="192"/>
      <c r="V35" s="192"/>
      <c r="W35" s="192"/>
      <c r="X35" s="192"/>
    </row>
    <row r="36" spans="1:24" ht="3" customHeight="1" thickBot="1">
      <c r="A36" s="226"/>
      <c r="B36" s="226"/>
      <c r="C36" s="215"/>
      <c r="D36" s="215"/>
      <c r="E36" s="206"/>
      <c r="F36" s="206"/>
      <c r="J36" s="216"/>
      <c r="O36" s="192"/>
      <c r="P36" s="192"/>
      <c r="Q36" s="192"/>
      <c r="R36" s="192"/>
      <c r="S36" s="192"/>
      <c r="T36" s="192"/>
      <c r="U36" s="192"/>
      <c r="V36" s="192"/>
      <c r="W36" s="192"/>
      <c r="X36" s="192"/>
    </row>
    <row r="37" spans="1:24" ht="15.75" customHeight="1" thickBot="1">
      <c r="A37" s="548" t="s">
        <v>76</v>
      </c>
      <c r="B37" s="549"/>
      <c r="C37" s="550"/>
      <c r="D37" s="215" t="s">
        <v>297</v>
      </c>
      <c r="E37" s="215"/>
      <c r="F37" s="546"/>
      <c r="G37" s="547"/>
      <c r="J37" s="216"/>
      <c r="L37" s="220"/>
      <c r="M37" s="218"/>
      <c r="O37" s="192"/>
      <c r="P37" s="192"/>
      <c r="Q37" s="192"/>
      <c r="R37" s="192"/>
      <c r="S37" s="192"/>
      <c r="T37" s="192"/>
      <c r="U37" s="192"/>
      <c r="V37" s="192"/>
      <c r="W37" s="192"/>
      <c r="X37" s="192"/>
    </row>
    <row r="38" spans="1:24" ht="15.75" customHeight="1" thickBot="1">
      <c r="A38" s="365"/>
      <c r="B38" s="366"/>
      <c r="C38" s="367"/>
      <c r="D38" s="215" t="s">
        <v>185</v>
      </c>
      <c r="E38" s="215"/>
      <c r="F38" s="546"/>
      <c r="G38" s="547"/>
      <c r="J38" s="216"/>
      <c r="L38" s="220"/>
      <c r="M38" s="218"/>
      <c r="O38" s="192"/>
      <c r="P38" s="192"/>
      <c r="Q38" s="192"/>
      <c r="R38" s="192"/>
      <c r="S38" s="192"/>
      <c r="T38" s="192"/>
      <c r="U38" s="192"/>
      <c r="V38" s="192"/>
      <c r="W38" s="192"/>
      <c r="X38" s="192"/>
    </row>
    <row r="39" spans="1:24" ht="15.75" customHeight="1" thickBot="1">
      <c r="A39" s="554"/>
      <c r="B39" s="555"/>
      <c r="C39" s="556"/>
      <c r="D39" s="215" t="s">
        <v>89</v>
      </c>
      <c r="E39" s="215"/>
      <c r="F39" s="546"/>
      <c r="G39" s="547"/>
      <c r="I39" s="225">
        <f>F38+F39+F37</f>
        <v>0</v>
      </c>
      <c r="J39" s="216"/>
      <c r="L39" s="441" t="s">
        <v>345</v>
      </c>
      <c r="M39" s="218"/>
      <c r="O39" s="192"/>
      <c r="P39" s="192"/>
      <c r="Q39" s="192"/>
      <c r="R39" s="192"/>
      <c r="S39" s="192"/>
      <c r="T39" s="192"/>
      <c r="U39" s="192"/>
      <c r="V39" s="192"/>
      <c r="W39" s="192"/>
      <c r="X39" s="192"/>
    </row>
    <row r="40" spans="1:24" ht="3" customHeight="1" thickBot="1">
      <c r="A40" s="226"/>
      <c r="B40" s="226"/>
      <c r="C40" s="215"/>
      <c r="D40" s="215"/>
      <c r="E40" s="206"/>
      <c r="F40" s="206"/>
      <c r="J40" s="216"/>
      <c r="O40" s="192"/>
      <c r="P40" s="192"/>
      <c r="Q40" s="192"/>
      <c r="R40" s="192"/>
      <c r="S40" s="192"/>
      <c r="T40" s="192"/>
      <c r="U40" s="192"/>
      <c r="V40" s="192"/>
      <c r="W40" s="192"/>
      <c r="X40" s="192"/>
    </row>
    <row r="41" spans="1:24" ht="15.75" customHeight="1" thickBot="1">
      <c r="A41" s="548" t="s">
        <v>76</v>
      </c>
      <c r="B41" s="549"/>
      <c r="C41" s="550"/>
      <c r="D41" s="215" t="s">
        <v>297</v>
      </c>
      <c r="E41" s="215"/>
      <c r="F41" s="546"/>
      <c r="G41" s="547"/>
      <c r="J41" s="216"/>
      <c r="L41" s="220"/>
      <c r="M41" s="218"/>
      <c r="O41" s="192"/>
      <c r="P41" s="192"/>
      <c r="Q41" s="192"/>
      <c r="R41" s="192"/>
      <c r="S41" s="192"/>
      <c r="T41" s="192"/>
      <c r="U41" s="192"/>
      <c r="V41" s="192"/>
      <c r="W41" s="192"/>
      <c r="X41" s="192"/>
    </row>
    <row r="42" spans="1:24" ht="15.75" customHeight="1" thickBot="1">
      <c r="A42" s="365"/>
      <c r="B42" s="366"/>
      <c r="C42" s="367"/>
      <c r="D42" s="215" t="s">
        <v>185</v>
      </c>
      <c r="E42" s="215"/>
      <c r="F42" s="546"/>
      <c r="G42" s="547"/>
      <c r="J42" s="216"/>
      <c r="L42" s="220"/>
      <c r="M42" s="218"/>
      <c r="O42" s="192"/>
      <c r="P42" s="192"/>
      <c r="Q42" s="192"/>
      <c r="R42" s="192"/>
      <c r="S42" s="192"/>
      <c r="T42" s="192"/>
      <c r="U42" s="192"/>
      <c r="V42" s="192"/>
      <c r="W42" s="192"/>
      <c r="X42" s="192"/>
    </row>
    <row r="43" spans="1:24" ht="15.75" customHeight="1" thickBot="1">
      <c r="A43" s="554"/>
      <c r="B43" s="555"/>
      <c r="C43" s="556"/>
      <c r="D43" s="215" t="s">
        <v>89</v>
      </c>
      <c r="E43" s="215"/>
      <c r="F43" s="546"/>
      <c r="G43" s="547"/>
      <c r="I43" s="225">
        <f>F42+F43+F41</f>
        <v>0</v>
      </c>
      <c r="J43" s="216"/>
      <c r="L43" s="441" t="s">
        <v>345</v>
      </c>
      <c r="M43" s="218"/>
      <c r="O43" s="192"/>
      <c r="P43" s="192"/>
      <c r="Q43" s="192"/>
      <c r="R43" s="192"/>
      <c r="S43" s="192"/>
      <c r="T43" s="192"/>
      <c r="U43" s="192"/>
      <c r="V43" s="192"/>
      <c r="W43" s="192"/>
      <c r="X43" s="192"/>
    </row>
    <row r="44" spans="1:24" ht="3.75" customHeight="1">
      <c r="A44" s="211"/>
      <c r="B44" s="211"/>
      <c r="C44" s="212"/>
      <c r="D44" s="212"/>
      <c r="E44" s="212"/>
      <c r="F44" s="212"/>
      <c r="G44" s="213"/>
      <c r="H44" s="213"/>
      <c r="I44" s="213"/>
      <c r="J44" s="214"/>
      <c r="K44" s="213"/>
      <c r="L44" s="213"/>
      <c r="M44" s="213"/>
      <c r="O44" s="192"/>
      <c r="P44" s="192"/>
      <c r="Q44" s="192"/>
      <c r="R44" s="192"/>
      <c r="S44" s="192"/>
      <c r="T44" s="192"/>
      <c r="U44" s="192"/>
      <c r="V44" s="192"/>
      <c r="W44" s="192"/>
      <c r="X44" s="192"/>
    </row>
    <row r="45" spans="1:24" ht="3.75" customHeight="1">
      <c r="A45" s="215"/>
      <c r="B45" s="215"/>
      <c r="C45" s="206"/>
      <c r="D45" s="206"/>
      <c r="E45" s="206"/>
      <c r="F45" s="206"/>
      <c r="J45" s="216"/>
      <c r="O45" s="192"/>
      <c r="P45" s="192"/>
      <c r="Q45" s="192"/>
      <c r="R45" s="192"/>
      <c r="S45" s="192"/>
      <c r="T45" s="192"/>
      <c r="U45" s="192"/>
      <c r="V45" s="192"/>
      <c r="W45" s="192"/>
      <c r="X45" s="192"/>
    </row>
    <row r="46" spans="1:24" ht="15.75" customHeight="1" thickBot="1">
      <c r="A46" s="208" t="s">
        <v>284</v>
      </c>
      <c r="B46" s="205"/>
      <c r="C46" s="206"/>
      <c r="D46" s="206"/>
      <c r="E46" s="206"/>
      <c r="F46" s="206"/>
      <c r="J46" s="216"/>
      <c r="O46" s="192"/>
      <c r="P46" s="192"/>
      <c r="Q46" s="192"/>
      <c r="R46" s="192"/>
      <c r="S46" s="192"/>
      <c r="T46" s="192"/>
      <c r="U46" s="192"/>
      <c r="V46" s="192"/>
      <c r="W46" s="192"/>
      <c r="X46" s="192"/>
    </row>
    <row r="47" spans="1:24" ht="15.75" customHeight="1" thickBot="1">
      <c r="A47" s="222" t="s">
        <v>235</v>
      </c>
      <c r="B47" s="544"/>
      <c r="C47" s="545"/>
      <c r="D47" s="206"/>
      <c r="E47" s="206"/>
      <c r="F47" s="546"/>
      <c r="G47" s="547"/>
      <c r="J47" s="216"/>
      <c r="L47" s="218"/>
      <c r="M47" s="218"/>
      <c r="O47" s="192"/>
      <c r="P47" s="192"/>
      <c r="Q47" s="192"/>
      <c r="R47" s="192"/>
      <c r="S47" s="192"/>
      <c r="T47" s="192"/>
      <c r="U47" s="192"/>
      <c r="V47" s="192"/>
      <c r="W47" s="192"/>
      <c r="X47" s="192"/>
    </row>
    <row r="48" spans="1:24" ht="15.75" customHeight="1" thickBot="1">
      <c r="A48" s="222" t="s">
        <v>209</v>
      </c>
      <c r="B48" s="544"/>
      <c r="C48" s="545"/>
      <c r="D48" s="206"/>
      <c r="E48" s="206"/>
      <c r="F48" s="546"/>
      <c r="G48" s="547"/>
      <c r="J48" s="216"/>
      <c r="L48" s="218"/>
      <c r="M48" s="218"/>
      <c r="O48" s="192"/>
      <c r="P48" s="192"/>
      <c r="Q48" s="192"/>
      <c r="R48" s="192"/>
      <c r="S48" s="192"/>
      <c r="T48" s="192"/>
      <c r="U48" s="192"/>
      <c r="V48" s="192"/>
      <c r="W48" s="192"/>
      <c r="X48" s="192"/>
    </row>
    <row r="49" spans="1:24" ht="15.75" customHeight="1" thickBot="1">
      <c r="A49" s="222" t="s">
        <v>209</v>
      </c>
      <c r="B49" s="544"/>
      <c r="C49" s="545"/>
      <c r="D49" s="206"/>
      <c r="E49" s="206"/>
      <c r="F49" s="546"/>
      <c r="G49" s="547"/>
      <c r="J49" s="216"/>
      <c r="L49" s="218"/>
      <c r="M49" s="218"/>
      <c r="O49" s="192"/>
      <c r="P49" s="192"/>
      <c r="Q49" s="192"/>
      <c r="R49" s="192"/>
      <c r="S49" s="192"/>
      <c r="T49" s="192"/>
      <c r="U49" s="192"/>
      <c r="V49" s="192"/>
      <c r="W49" s="192"/>
      <c r="X49" s="192"/>
    </row>
    <row r="50" spans="1:24" ht="15.75" customHeight="1" thickBot="1">
      <c r="A50" s="222" t="s">
        <v>209</v>
      </c>
      <c r="B50" s="544"/>
      <c r="C50" s="545"/>
      <c r="D50" s="206"/>
      <c r="E50" s="206"/>
      <c r="F50" s="546"/>
      <c r="G50" s="547"/>
      <c r="J50" s="216"/>
      <c r="L50" s="218"/>
      <c r="M50" s="218"/>
      <c r="O50" s="192"/>
      <c r="P50" s="192"/>
      <c r="Q50" s="192"/>
      <c r="R50" s="192"/>
      <c r="S50" s="192"/>
      <c r="T50" s="192"/>
      <c r="U50" s="192"/>
      <c r="V50" s="192"/>
      <c r="W50" s="192"/>
      <c r="X50" s="192"/>
    </row>
    <row r="51" spans="1:24" ht="15.75" customHeight="1" thickBot="1">
      <c r="A51" s="222" t="s">
        <v>209</v>
      </c>
      <c r="B51" s="544"/>
      <c r="C51" s="545"/>
      <c r="D51" s="206"/>
      <c r="E51" s="206"/>
      <c r="F51" s="546"/>
      <c r="G51" s="547"/>
      <c r="J51" s="216"/>
      <c r="L51" s="218"/>
      <c r="M51" s="218"/>
      <c r="O51" s="192"/>
      <c r="P51" s="192"/>
      <c r="Q51" s="192"/>
      <c r="R51" s="192"/>
      <c r="S51" s="192"/>
      <c r="T51" s="192"/>
      <c r="U51" s="192"/>
      <c r="V51" s="192"/>
      <c r="W51" s="192"/>
      <c r="X51" s="192"/>
    </row>
    <row r="52" spans="1:24" ht="15.75" customHeight="1" thickBot="1">
      <c r="A52" s="222" t="s">
        <v>209</v>
      </c>
      <c r="B52" s="544"/>
      <c r="C52" s="545"/>
      <c r="D52" s="206"/>
      <c r="E52" s="206"/>
      <c r="F52" s="546"/>
      <c r="G52" s="547"/>
      <c r="J52" s="216"/>
      <c r="L52" s="218"/>
      <c r="M52" s="218"/>
      <c r="O52" s="192"/>
      <c r="P52" s="192"/>
      <c r="Q52" s="192"/>
      <c r="R52" s="192"/>
      <c r="S52" s="192"/>
      <c r="T52" s="192"/>
      <c r="U52" s="192"/>
      <c r="V52" s="192"/>
      <c r="W52" s="192"/>
      <c r="X52" s="192"/>
    </row>
    <row r="53" spans="1:24" ht="3.75" customHeight="1">
      <c r="A53" s="211"/>
      <c r="B53" s="211"/>
      <c r="C53" s="212"/>
      <c r="D53" s="212"/>
      <c r="E53" s="212"/>
      <c r="F53" s="212"/>
      <c r="G53" s="213"/>
      <c r="H53" s="213"/>
      <c r="I53" s="213"/>
      <c r="J53" s="214"/>
      <c r="K53" s="213"/>
      <c r="L53" s="213"/>
      <c r="M53" s="213"/>
      <c r="O53" s="192"/>
      <c r="P53" s="192"/>
      <c r="Q53" s="192"/>
      <c r="R53" s="192"/>
      <c r="S53" s="192"/>
      <c r="T53" s="192"/>
      <c r="U53" s="192"/>
      <c r="V53" s="192"/>
      <c r="W53" s="192"/>
      <c r="X53" s="192"/>
    </row>
    <row r="54" spans="1:24" ht="3.75" customHeight="1">
      <c r="A54" s="215"/>
      <c r="B54" s="215"/>
      <c r="C54" s="206"/>
      <c r="D54" s="206"/>
      <c r="E54" s="206"/>
      <c r="F54" s="206"/>
      <c r="J54" s="216"/>
      <c r="O54" s="192"/>
      <c r="P54" s="192"/>
      <c r="Q54" s="192"/>
      <c r="R54" s="192"/>
      <c r="S54" s="192"/>
      <c r="T54" s="192"/>
      <c r="U54" s="192"/>
      <c r="V54" s="192"/>
      <c r="W54" s="192"/>
      <c r="X54" s="192"/>
    </row>
    <row r="55" spans="1:24" ht="15.75" customHeight="1" thickBot="1">
      <c r="A55" s="208" t="s">
        <v>268</v>
      </c>
      <c r="B55" s="215"/>
      <c r="C55" s="206"/>
      <c r="D55" s="206"/>
      <c r="E55" s="206"/>
      <c r="F55" s="206"/>
      <c r="J55" s="216"/>
      <c r="L55" s="128"/>
      <c r="O55" s="192"/>
      <c r="P55" s="192"/>
      <c r="Q55" s="192"/>
      <c r="R55" s="192"/>
      <c r="S55" s="192"/>
      <c r="T55" s="192"/>
      <c r="U55" s="192"/>
      <c r="V55" s="192"/>
      <c r="W55" s="192"/>
      <c r="X55" s="192"/>
    </row>
    <row r="56" spans="1:24" ht="15.75" customHeight="1" thickBot="1">
      <c r="A56" s="217" t="s">
        <v>185</v>
      </c>
      <c r="B56" s="215"/>
      <c r="C56" s="206"/>
      <c r="D56" s="206"/>
      <c r="E56" s="206"/>
      <c r="F56" s="574">
        <f>'RKA Masse'!S35</f>
        <v>0</v>
      </c>
      <c r="G56" s="575"/>
      <c r="J56" s="216"/>
      <c r="L56" s="220"/>
      <c r="M56" s="218"/>
      <c r="O56" s="192"/>
      <c r="P56" s="192"/>
      <c r="Q56" s="192"/>
      <c r="R56" s="192"/>
      <c r="S56" s="192"/>
      <c r="T56" s="192"/>
      <c r="U56" s="192"/>
      <c r="V56" s="192"/>
      <c r="W56" s="192"/>
      <c r="X56" s="192"/>
    </row>
    <row r="57" spans="1:24" ht="15.75" customHeight="1" thickBot="1">
      <c r="A57" s="217" t="s">
        <v>262</v>
      </c>
      <c r="B57" s="215"/>
      <c r="C57" s="206"/>
      <c r="D57" s="206"/>
      <c r="E57" s="206"/>
      <c r="F57" s="427"/>
      <c r="G57" s="520">
        <f>'RKA Masse'!Q35</f>
        <v>0</v>
      </c>
      <c r="J57" s="216"/>
      <c r="L57" s="441" t="s">
        <v>345</v>
      </c>
      <c r="M57" s="218"/>
      <c r="O57" s="192"/>
      <c r="P57" s="192"/>
      <c r="Q57" s="192"/>
      <c r="R57" s="192"/>
      <c r="S57" s="192"/>
      <c r="T57" s="192"/>
      <c r="U57" s="192"/>
      <c r="V57" s="192"/>
      <c r="W57" s="192"/>
      <c r="X57" s="192"/>
    </row>
    <row r="58" spans="1:24" ht="3.75" customHeight="1">
      <c r="A58" s="211"/>
      <c r="B58" s="211"/>
      <c r="C58" s="212"/>
      <c r="D58" s="212"/>
      <c r="E58" s="212"/>
      <c r="F58" s="212"/>
      <c r="G58" s="213"/>
      <c r="H58" s="213"/>
      <c r="I58" s="213"/>
      <c r="J58" s="214"/>
      <c r="K58" s="213"/>
      <c r="L58" s="213"/>
      <c r="M58" s="213"/>
      <c r="O58" s="192"/>
      <c r="P58" s="192"/>
      <c r="Q58" s="192"/>
      <c r="R58" s="192"/>
      <c r="S58" s="192"/>
      <c r="T58" s="192"/>
      <c r="U58" s="192"/>
      <c r="V58" s="192"/>
      <c r="W58" s="192"/>
      <c r="X58" s="192"/>
    </row>
    <row r="59" spans="1:24" ht="3.75" customHeight="1">
      <c r="A59" s="215"/>
      <c r="B59" s="215"/>
      <c r="C59" s="206"/>
      <c r="D59" s="206"/>
      <c r="E59" s="206"/>
      <c r="F59" s="206"/>
      <c r="J59" s="216"/>
      <c r="O59" s="192"/>
      <c r="P59" s="192"/>
      <c r="Q59" s="192"/>
      <c r="R59" s="192"/>
      <c r="S59" s="192"/>
      <c r="T59" s="192"/>
      <c r="U59" s="192"/>
      <c r="V59" s="192"/>
      <c r="W59" s="192"/>
      <c r="X59" s="192"/>
    </row>
    <row r="60" spans="1:24" ht="15.75" customHeight="1">
      <c r="A60" s="208" t="s">
        <v>194</v>
      </c>
      <c r="B60" s="215"/>
      <c r="C60" s="206"/>
      <c r="D60" s="206"/>
      <c r="E60" s="206"/>
      <c r="F60" s="206"/>
      <c r="I60" s="225">
        <f>SUM(F47:G57)+SUM(I29:I43)</f>
        <v>0</v>
      </c>
      <c r="J60" s="216"/>
      <c r="L60" s="128"/>
      <c r="O60" s="192"/>
      <c r="P60" s="192"/>
      <c r="Q60" s="192"/>
      <c r="R60" s="192"/>
      <c r="S60" s="192"/>
      <c r="T60" s="192"/>
      <c r="U60" s="192"/>
      <c r="V60" s="192"/>
      <c r="W60" s="192"/>
      <c r="X60" s="192"/>
    </row>
    <row r="61" spans="1:24" ht="8.25" customHeight="1">
      <c r="A61" s="208"/>
      <c r="B61" s="215"/>
      <c r="C61" s="206"/>
      <c r="D61" s="206"/>
      <c r="E61" s="206"/>
      <c r="F61" s="206"/>
      <c r="I61" s="227"/>
      <c r="L61" s="128"/>
      <c r="O61" s="192"/>
      <c r="P61" s="192"/>
      <c r="Q61" s="192"/>
      <c r="R61" s="192"/>
      <c r="S61" s="192"/>
      <c r="T61" s="192"/>
      <c r="U61" s="192"/>
      <c r="V61" s="192"/>
      <c r="W61" s="192"/>
      <c r="X61" s="192"/>
    </row>
    <row r="62" spans="1:24" ht="15.75" customHeight="1" thickBot="1">
      <c r="A62" s="208" t="s">
        <v>288</v>
      </c>
      <c r="B62" s="215"/>
      <c r="C62" s="206"/>
      <c r="D62" s="206"/>
      <c r="E62" s="206"/>
      <c r="F62" s="206"/>
      <c r="I62" s="227"/>
      <c r="L62" s="128"/>
      <c r="O62" s="192"/>
      <c r="P62" s="192"/>
      <c r="Q62" s="192"/>
      <c r="R62" s="192"/>
      <c r="S62" s="192"/>
      <c r="T62" s="192"/>
      <c r="U62" s="192"/>
      <c r="V62" s="192"/>
      <c r="W62" s="192"/>
      <c r="X62" s="192"/>
    </row>
    <row r="63" spans="1:24" ht="14.25" customHeight="1" thickBot="1">
      <c r="A63" s="351" t="s">
        <v>289</v>
      </c>
      <c r="B63" s="352"/>
      <c r="C63" s="353"/>
      <c r="D63" s="354" t="s">
        <v>290</v>
      </c>
      <c r="E63" s="355"/>
      <c r="F63" s="206"/>
      <c r="G63" s="356"/>
      <c r="H63" s="357"/>
      <c r="I63" s="368">
        <f>C63*G63</f>
        <v>0</v>
      </c>
      <c r="L63" s="368"/>
      <c r="M63" s="218"/>
      <c r="O63" s="192"/>
      <c r="P63" s="192"/>
      <c r="Q63" s="192"/>
      <c r="R63" s="192"/>
      <c r="S63" s="192"/>
      <c r="T63" s="192"/>
      <c r="U63" s="192"/>
      <c r="V63" s="192"/>
      <c r="W63" s="192"/>
      <c r="X63" s="192"/>
    </row>
    <row r="64" spans="1:24" ht="15.75" customHeight="1" thickBot="1">
      <c r="A64" s="351" t="s">
        <v>291</v>
      </c>
      <c r="B64" s="352"/>
      <c r="C64" s="353"/>
      <c r="D64" s="354" t="s">
        <v>290</v>
      </c>
      <c r="E64" s="355"/>
      <c r="F64" s="206"/>
      <c r="G64" s="356"/>
      <c r="H64" s="357"/>
      <c r="I64" s="368">
        <f t="shared" ref="I64:I66" si="0">C64*G64</f>
        <v>0</v>
      </c>
      <c r="L64" s="368"/>
      <c r="M64" s="218"/>
      <c r="O64" s="192"/>
      <c r="P64" s="192"/>
      <c r="Q64" s="192"/>
      <c r="R64" s="192"/>
      <c r="S64" s="192"/>
      <c r="T64" s="192"/>
      <c r="U64" s="192"/>
      <c r="V64" s="192"/>
      <c r="W64" s="192"/>
      <c r="X64" s="192"/>
    </row>
    <row r="65" spans="1:35" ht="15.75" customHeight="1" thickBot="1">
      <c r="A65" s="351" t="s">
        <v>292</v>
      </c>
      <c r="B65" s="352"/>
      <c r="C65" s="353"/>
      <c r="D65" s="354"/>
      <c r="E65" s="355"/>
      <c r="F65" s="206"/>
      <c r="G65" s="356"/>
      <c r="H65" s="357"/>
      <c r="I65" s="368">
        <f t="shared" si="0"/>
        <v>0</v>
      </c>
      <c r="L65" s="368"/>
      <c r="M65" s="218"/>
      <c r="O65" s="192"/>
      <c r="P65" s="192"/>
      <c r="Q65" s="192"/>
      <c r="R65" s="192"/>
      <c r="S65" s="192"/>
      <c r="T65" s="192"/>
      <c r="U65" s="192"/>
      <c r="V65" s="192"/>
      <c r="W65" s="192"/>
      <c r="X65" s="192"/>
    </row>
    <row r="66" spans="1:35" ht="15" customHeight="1" thickBot="1">
      <c r="A66" s="351"/>
      <c r="B66" s="359" t="s">
        <v>313</v>
      </c>
      <c r="C66" s="353"/>
      <c r="D66" s="354" t="s">
        <v>293</v>
      </c>
      <c r="E66" s="355"/>
      <c r="F66" s="206"/>
      <c r="G66" s="356"/>
      <c r="H66" s="357"/>
      <c r="I66" s="368">
        <f t="shared" si="0"/>
        <v>0</v>
      </c>
      <c r="L66" s="368"/>
      <c r="M66" s="218"/>
      <c r="O66" s="192"/>
      <c r="P66" s="192"/>
      <c r="Q66" s="192"/>
      <c r="R66" s="192"/>
      <c r="S66" s="192"/>
      <c r="T66" s="192"/>
      <c r="U66" s="192"/>
      <c r="V66" s="192"/>
      <c r="W66" s="192"/>
      <c r="X66" s="192"/>
    </row>
    <row r="67" spans="1:35" ht="15" thickBot="1">
      <c r="A67" s="351"/>
      <c r="B67" s="359" t="s">
        <v>294</v>
      </c>
      <c r="C67" s="571"/>
      <c r="D67" s="572"/>
      <c r="E67" s="572"/>
      <c r="F67" s="572"/>
      <c r="G67" s="573"/>
      <c r="H67" s="379"/>
      <c r="I67" s="358"/>
      <c r="L67" s="358"/>
      <c r="M67" s="218"/>
      <c r="O67" s="192"/>
      <c r="P67" s="192"/>
      <c r="Q67" s="192"/>
      <c r="R67" s="192"/>
      <c r="S67" s="192"/>
      <c r="T67" s="192"/>
      <c r="U67" s="192"/>
      <c r="V67" s="192"/>
      <c r="W67" s="192"/>
      <c r="X67" s="192"/>
    </row>
    <row r="68" spans="1:35" ht="15" thickBot="1">
      <c r="A68" s="351"/>
      <c r="B68" s="359" t="s">
        <v>295</v>
      </c>
      <c r="C68" s="571"/>
      <c r="D68" s="572"/>
      <c r="E68" s="572"/>
      <c r="F68" s="572"/>
      <c r="G68" s="573"/>
      <c r="H68" s="379"/>
      <c r="I68" s="358"/>
      <c r="L68" s="358"/>
      <c r="M68" s="218"/>
      <c r="O68" s="192"/>
      <c r="P68" s="192"/>
      <c r="Q68" s="192"/>
      <c r="R68" s="192"/>
      <c r="S68" s="192"/>
      <c r="T68" s="192"/>
      <c r="U68" s="192"/>
      <c r="V68" s="192"/>
      <c r="W68" s="192"/>
      <c r="X68" s="192"/>
    </row>
    <row r="69" spans="1:35" ht="15" thickBot="1">
      <c r="A69" s="381" t="s">
        <v>301</v>
      </c>
      <c r="B69" s="352"/>
      <c r="C69" s="354"/>
      <c r="D69" s="354"/>
      <c r="E69" s="355"/>
      <c r="F69" s="206"/>
      <c r="H69" s="357"/>
      <c r="I69" s="380">
        <f>SUM(I63:I68)</f>
        <v>0</v>
      </c>
      <c r="L69" s="369"/>
      <c r="M69" s="377"/>
      <c r="O69" s="192"/>
      <c r="P69" s="192"/>
      <c r="Q69" s="192"/>
      <c r="R69" s="192"/>
      <c r="S69" s="192"/>
      <c r="T69" s="192"/>
      <c r="U69" s="192"/>
      <c r="V69" s="192"/>
      <c r="W69" s="192"/>
      <c r="X69" s="192"/>
    </row>
    <row r="70" spans="1:35" ht="15" thickBot="1">
      <c r="A70" s="351"/>
      <c r="B70" s="352"/>
      <c r="C70" s="354"/>
      <c r="D70" s="354"/>
      <c r="E70" s="355"/>
      <c r="F70" s="206"/>
      <c r="G70" s="354"/>
      <c r="H70" s="357"/>
      <c r="I70" s="227"/>
      <c r="L70" s="375"/>
      <c r="M70" s="376"/>
      <c r="O70" s="192"/>
      <c r="P70" s="192"/>
      <c r="Q70" s="192"/>
      <c r="R70" s="192"/>
      <c r="S70" s="192"/>
      <c r="T70" s="192"/>
      <c r="U70" s="192"/>
      <c r="V70" s="192"/>
      <c r="W70" s="192"/>
      <c r="X70" s="192"/>
    </row>
    <row r="71" spans="1:35" ht="15" thickBot="1">
      <c r="A71" s="360" t="s">
        <v>296</v>
      </c>
      <c r="B71" s="361"/>
      <c r="C71" s="362"/>
      <c r="D71" s="363"/>
      <c r="E71" s="364"/>
      <c r="F71" s="364"/>
      <c r="G71" s="362"/>
      <c r="H71" s="362"/>
      <c r="I71" s="380">
        <f>(I69-I60)</f>
        <v>0</v>
      </c>
      <c r="J71" s="378"/>
      <c r="K71" s="291"/>
      <c r="M71" s="291"/>
      <c r="O71" s="192"/>
      <c r="P71" s="192"/>
      <c r="Q71" s="192"/>
      <c r="R71" s="192"/>
      <c r="S71" s="192"/>
      <c r="T71" s="192"/>
      <c r="U71" s="192"/>
      <c r="V71" s="192"/>
      <c r="W71" s="192"/>
      <c r="X71" s="192"/>
    </row>
    <row r="72" spans="1:35" ht="15" thickBot="1">
      <c r="A72" s="569" t="str">
        <f>IF(O93="Ja!","Einladung, Ablaufplan und TF Teilnehmerliste (grüner Reiter) sind mit einzureichen!","")</f>
        <v/>
      </c>
      <c r="B72" s="570"/>
      <c r="C72" s="570"/>
      <c r="D72" s="570"/>
      <c r="E72" s="570"/>
      <c r="F72" s="570"/>
      <c r="G72" s="570"/>
      <c r="H72" s="570"/>
      <c r="I72" s="570"/>
      <c r="J72" s="228"/>
      <c r="L72" s="229" t="str">
        <f>IF(O93="Ja!","vollständig?","")</f>
        <v/>
      </c>
      <c r="M72" s="200" t="str">
        <f>IF(O93="Ja!","","XXX")</f>
        <v>XXX</v>
      </c>
      <c r="N72" s="230"/>
      <c r="O72" s="192"/>
      <c r="P72" s="192"/>
      <c r="Q72" s="192"/>
      <c r="R72" s="192"/>
      <c r="S72" s="192"/>
      <c r="T72" s="192"/>
      <c r="U72" s="192"/>
      <c r="V72" s="192"/>
      <c r="W72" s="192"/>
      <c r="X72" s="192"/>
    </row>
    <row r="73" spans="1:35" s="192" customFormat="1">
      <c r="A73" s="208"/>
      <c r="B73" s="215"/>
      <c r="C73" s="206"/>
      <c r="D73" s="206"/>
      <c r="E73" s="206"/>
      <c r="F73" s="206"/>
      <c r="G73" s="122"/>
      <c r="H73" s="122"/>
      <c r="I73" s="227"/>
      <c r="J73" s="122"/>
      <c r="K73" s="122"/>
      <c r="L73" s="128"/>
      <c r="M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</row>
    <row r="74" spans="1:35" s="192" customFormat="1">
      <c r="A74" s="589"/>
      <c r="B74" s="590"/>
      <c r="C74" s="590"/>
      <c r="D74" s="590"/>
      <c r="E74" s="591"/>
      <c r="F74" s="122"/>
      <c r="G74" s="598" t="s">
        <v>402</v>
      </c>
      <c r="H74" s="599"/>
      <c r="I74" s="599"/>
      <c r="J74" s="599"/>
      <c r="K74" s="599"/>
      <c r="L74" s="599"/>
      <c r="M74" s="600"/>
      <c r="Y74" s="122"/>
      <c r="Z74" s="122"/>
      <c r="AA74" s="122"/>
      <c r="AB74" s="122"/>
      <c r="AC74" s="122"/>
      <c r="AD74" s="122"/>
      <c r="AE74" s="122"/>
      <c r="AF74" s="122"/>
      <c r="AG74" s="122"/>
      <c r="AH74" s="122"/>
      <c r="AI74" s="122"/>
    </row>
    <row r="75" spans="1:35" s="192" customFormat="1">
      <c r="A75" s="592"/>
      <c r="B75" s="593"/>
      <c r="C75" s="593"/>
      <c r="D75" s="593"/>
      <c r="E75" s="594"/>
      <c r="F75" s="122"/>
      <c r="G75" s="583"/>
      <c r="H75" s="584"/>
      <c r="I75" s="584"/>
      <c r="J75" s="584"/>
      <c r="K75" s="584"/>
      <c r="L75" s="584"/>
      <c r="M75" s="585"/>
      <c r="Y75" s="122"/>
      <c r="Z75" s="122"/>
      <c r="AA75" s="122"/>
      <c r="AB75" s="122"/>
      <c r="AC75" s="122"/>
      <c r="AD75" s="122"/>
      <c r="AE75" s="122"/>
      <c r="AF75" s="122"/>
      <c r="AG75" s="122"/>
      <c r="AH75" s="122"/>
      <c r="AI75" s="122"/>
    </row>
    <row r="76" spans="1:35" s="192" customFormat="1">
      <c r="A76" s="595"/>
      <c r="B76" s="596"/>
      <c r="C76" s="596"/>
      <c r="D76" s="596"/>
      <c r="E76" s="597"/>
      <c r="F76" s="122"/>
      <c r="G76" s="583"/>
      <c r="H76" s="584"/>
      <c r="I76" s="584"/>
      <c r="J76" s="584"/>
      <c r="K76" s="584"/>
      <c r="L76" s="584"/>
      <c r="M76" s="585"/>
      <c r="Y76" s="122"/>
      <c r="Z76" s="122"/>
      <c r="AA76" s="122"/>
      <c r="AB76" s="122"/>
      <c r="AC76" s="122"/>
      <c r="AD76" s="122"/>
      <c r="AE76" s="122"/>
      <c r="AF76" s="122"/>
      <c r="AG76" s="122"/>
      <c r="AH76" s="122"/>
      <c r="AI76" s="122"/>
    </row>
    <row r="77" spans="1:35" s="192" customFormat="1">
      <c r="A77" s="577" t="str">
        <f>IF(C10="X","Unterschrift Maßnahmenleitung","Unterschrift Budgetverantwortung")</f>
        <v>Unterschrift Budgetverantwortung</v>
      </c>
      <c r="B77" s="578"/>
      <c r="C77" s="578"/>
      <c r="D77" s="578"/>
      <c r="E77" s="579"/>
      <c r="F77" s="122"/>
      <c r="G77" s="586"/>
      <c r="H77" s="587"/>
      <c r="I77" s="587"/>
      <c r="J77" s="587"/>
      <c r="K77" s="587"/>
      <c r="L77" s="587"/>
      <c r="M77" s="588"/>
      <c r="O77" s="231">
        <f>F43+F39+F35+F20+F57</f>
        <v>0</v>
      </c>
      <c r="Y77" s="122"/>
      <c r="Z77" s="122"/>
      <c r="AA77" s="122"/>
      <c r="AB77" s="122"/>
      <c r="AC77" s="122"/>
      <c r="AD77" s="122"/>
      <c r="AE77" s="122"/>
      <c r="AF77" s="122"/>
      <c r="AG77" s="122"/>
      <c r="AH77" s="122"/>
      <c r="AI77" s="122"/>
    </row>
    <row r="78" spans="1:35" s="192" customFormat="1">
      <c r="A78" s="580" t="s">
        <v>260</v>
      </c>
      <c r="B78" s="580"/>
      <c r="C78" s="580"/>
      <c r="D78" s="580"/>
      <c r="E78" s="580"/>
      <c r="F78" s="122"/>
      <c r="G78" s="577" t="s">
        <v>403</v>
      </c>
      <c r="H78" s="578"/>
      <c r="I78" s="578"/>
      <c r="J78" s="578"/>
      <c r="K78" s="578"/>
      <c r="L78" s="578"/>
      <c r="M78" s="579"/>
      <c r="O78" s="232" t="str">
        <f>IF(O77-F57&gt;0,"Ja!","Nein")</f>
        <v>Nein</v>
      </c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</row>
    <row r="79" spans="1:35" s="192" customFormat="1">
      <c r="A79" s="570"/>
      <c r="B79" s="570"/>
      <c r="C79" s="570"/>
      <c r="D79" s="570"/>
      <c r="E79" s="570"/>
      <c r="F79" s="122"/>
      <c r="O79" s="232" t="str">
        <f>LEFT(C8,6)</f>
        <v>Schied</v>
      </c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</row>
    <row r="80" spans="1:35" s="192" customFormat="1">
      <c r="A80" s="581"/>
      <c r="B80" s="581"/>
      <c r="C80" s="581"/>
      <c r="D80" s="581"/>
      <c r="E80" s="581"/>
      <c r="F80" s="122"/>
      <c r="G80" s="582"/>
      <c r="H80" s="582"/>
      <c r="I80" s="582"/>
      <c r="J80" s="582"/>
      <c r="K80" s="582"/>
      <c r="L80" s="582"/>
      <c r="M80" s="582"/>
      <c r="O80" s="232" t="str">
        <f>IF(O79="Bezirk","Ja!","Nein")</f>
        <v>Nein</v>
      </c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</row>
    <row r="81" spans="1:35" s="192" customFormat="1">
      <c r="F81" s="122"/>
      <c r="G81" s="582"/>
      <c r="H81" s="582"/>
      <c r="I81" s="582"/>
      <c r="J81" s="582"/>
      <c r="K81" s="582"/>
      <c r="L81" s="582"/>
      <c r="M81" s="58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</row>
    <row r="82" spans="1:35" s="192" customFormat="1">
      <c r="G82" s="576"/>
      <c r="H82" s="576"/>
      <c r="I82" s="576"/>
      <c r="J82" s="576"/>
      <c r="K82" s="576"/>
      <c r="L82" s="576"/>
      <c r="M82" s="576"/>
      <c r="O82" s="232" t="str">
        <f>IF(OR(AND(O78="Ja!",O80="Ja!"),O86="Ja!"),"Ja!","Nein")</f>
        <v>Nein</v>
      </c>
      <c r="Y82" s="122"/>
      <c r="Z82" s="122"/>
      <c r="AA82" s="122"/>
      <c r="AB82" s="122"/>
      <c r="AC82" s="122"/>
      <c r="AD82" s="122"/>
      <c r="AE82" s="122"/>
      <c r="AF82" s="122"/>
      <c r="AG82" s="122"/>
      <c r="AH82" s="122"/>
      <c r="AI82" s="122"/>
    </row>
    <row r="83" spans="1:35" s="192" customFormat="1">
      <c r="Y83" s="122"/>
      <c r="Z83" s="122"/>
      <c r="AA83" s="122"/>
      <c r="AB83" s="122"/>
      <c r="AC83" s="122"/>
      <c r="AD83" s="122"/>
      <c r="AE83" s="122"/>
      <c r="AF83" s="122"/>
      <c r="AG83" s="122"/>
      <c r="AH83" s="122"/>
      <c r="AI83" s="122"/>
    </row>
    <row r="84" spans="1:35" s="192" customFormat="1">
      <c r="O84" s="232" t="str">
        <f>IF($O$82="Ja!","GS Süd",VLOOKUP($C$8,$A$85:$B$105,2,FALSE))</f>
        <v>GS Süd</v>
      </c>
      <c r="Y84" s="122"/>
      <c r="Z84" s="122"/>
      <c r="AA84" s="122"/>
      <c r="AB84" s="122"/>
      <c r="AC84" s="122"/>
      <c r="AD84" s="122"/>
      <c r="AE84" s="122"/>
      <c r="AF84" s="122"/>
      <c r="AG84" s="122"/>
      <c r="AH84" s="122"/>
      <c r="AI84" s="122"/>
    </row>
    <row r="85" spans="1:35" s="192" customFormat="1">
      <c r="A85" s="413" t="s">
        <v>209</v>
      </c>
      <c r="B85" s="413" t="s">
        <v>214</v>
      </c>
      <c r="O85" s="192" t="e">
        <f>VLOOKUP(O84,D106:F113,3,FALSE)</f>
        <v>#N/A</v>
      </c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</row>
    <row r="86" spans="1:35" s="192" customFormat="1">
      <c r="A86" s="413" t="s">
        <v>236</v>
      </c>
      <c r="B86" s="413" t="s">
        <v>214</v>
      </c>
      <c r="C86" s="413"/>
      <c r="D86" s="413"/>
      <c r="O86" s="232" t="str">
        <f>IF(C6="X","Ja!","Nein")</f>
        <v>Nein</v>
      </c>
      <c r="Y86" s="122"/>
      <c r="Z86" s="122"/>
      <c r="AA86" s="122"/>
      <c r="AB86" s="122"/>
      <c r="AC86" s="122"/>
      <c r="AD86" s="122"/>
      <c r="AE86" s="122"/>
      <c r="AF86" s="122"/>
      <c r="AG86" s="122"/>
      <c r="AH86" s="122"/>
      <c r="AI86" s="122"/>
    </row>
    <row r="87" spans="1:35" s="192" customFormat="1">
      <c r="A87" s="413" t="s">
        <v>183</v>
      </c>
      <c r="B87" s="413" t="s">
        <v>214</v>
      </c>
      <c r="C87" s="413"/>
      <c r="D87" s="413"/>
      <c r="Y87" s="122"/>
      <c r="Z87" s="122"/>
      <c r="AA87" s="122"/>
      <c r="AB87" s="122"/>
      <c r="AC87" s="122"/>
      <c r="AD87" s="122"/>
      <c r="AE87" s="122"/>
      <c r="AF87" s="122"/>
      <c r="AG87" s="122"/>
      <c r="AH87" s="122"/>
      <c r="AI87" s="122"/>
    </row>
    <row r="88" spans="1:35" s="192" customFormat="1">
      <c r="A88" s="413" t="s">
        <v>198</v>
      </c>
      <c r="B88" s="413" t="s">
        <v>214</v>
      </c>
      <c r="C88" s="413"/>
      <c r="D88" s="413"/>
      <c r="G88" s="192" t="s">
        <v>209</v>
      </c>
      <c r="I88" s="414"/>
      <c r="J88" s="414"/>
      <c r="K88" s="414"/>
      <c r="M88" s="192" t="s">
        <v>210</v>
      </c>
      <c r="O88" s="415">
        <f>F47+F48+F51+F52+F18</f>
        <v>0</v>
      </c>
      <c r="Y88" s="122"/>
      <c r="Z88" s="122"/>
      <c r="AA88" s="122"/>
      <c r="AB88" s="122"/>
      <c r="AC88" s="122"/>
      <c r="AD88" s="122"/>
      <c r="AE88" s="122"/>
      <c r="AF88" s="122"/>
      <c r="AG88" s="122"/>
      <c r="AH88" s="122"/>
      <c r="AI88" s="122"/>
    </row>
    <row r="89" spans="1:35" s="192" customFormat="1">
      <c r="A89" s="413" t="s">
        <v>197</v>
      </c>
      <c r="B89" s="413" t="s">
        <v>214</v>
      </c>
      <c r="C89" s="413"/>
      <c r="D89" s="413"/>
      <c r="G89" s="192" t="s">
        <v>227</v>
      </c>
      <c r="I89" s="411"/>
      <c r="J89" s="411"/>
      <c r="K89" s="411"/>
      <c r="M89" s="192" t="s">
        <v>89</v>
      </c>
      <c r="O89" s="232" t="str">
        <f>IF(O88&lt;&gt;0,"Ja!","Nein")</f>
        <v>Nein</v>
      </c>
      <c r="Y89" s="122"/>
      <c r="Z89" s="122"/>
      <c r="AA89" s="122"/>
      <c r="AB89" s="122"/>
      <c r="AC89" s="122"/>
      <c r="AD89" s="122"/>
      <c r="AE89" s="122"/>
      <c r="AF89" s="122"/>
      <c r="AG89" s="122"/>
      <c r="AH89" s="122"/>
      <c r="AI89" s="122"/>
    </row>
    <row r="90" spans="1:35" s="192" customFormat="1">
      <c r="A90" s="413" t="s">
        <v>237</v>
      </c>
      <c r="B90" s="413" t="s">
        <v>214</v>
      </c>
      <c r="C90" s="413"/>
      <c r="D90" s="413"/>
      <c r="G90" s="192" t="s">
        <v>235</v>
      </c>
      <c r="M90" s="192" t="s">
        <v>211</v>
      </c>
      <c r="Y90" s="122"/>
      <c r="Z90" s="122"/>
      <c r="AA90" s="122"/>
      <c r="AB90" s="122"/>
      <c r="AC90" s="122"/>
      <c r="AD90" s="122"/>
      <c r="AE90" s="122"/>
      <c r="AF90" s="122"/>
      <c r="AG90" s="122"/>
      <c r="AH90" s="122"/>
      <c r="AI90" s="122"/>
    </row>
    <row r="91" spans="1:35" s="192" customFormat="1">
      <c r="A91" s="413" t="s">
        <v>181</v>
      </c>
      <c r="B91" s="413" t="s">
        <v>214</v>
      </c>
      <c r="C91" s="413"/>
      <c r="D91" s="413"/>
      <c r="G91" s="192" t="s">
        <v>189</v>
      </c>
      <c r="M91" s="192" t="s">
        <v>51</v>
      </c>
      <c r="O91" s="232" t="str">
        <f>IF(AND(O89="NEIN",O78="NEIN",O86="Nein"),"Ja!","Nein")</f>
        <v>Ja!</v>
      </c>
      <c r="P91" s="192" t="s">
        <v>226</v>
      </c>
      <c r="Y91" s="122"/>
      <c r="Z91" s="122"/>
      <c r="AA91" s="122"/>
      <c r="AB91" s="122"/>
      <c r="AC91" s="122"/>
      <c r="AD91" s="122"/>
      <c r="AE91" s="122"/>
      <c r="AF91" s="122"/>
      <c r="AG91" s="122"/>
      <c r="AH91" s="122"/>
      <c r="AI91" s="122"/>
    </row>
    <row r="92" spans="1:35" s="192" customFormat="1">
      <c r="A92" s="413" t="s">
        <v>243</v>
      </c>
      <c r="B92" s="413" t="s">
        <v>214</v>
      </c>
      <c r="C92" s="413"/>
      <c r="D92" s="413"/>
      <c r="G92" s="192" t="s">
        <v>191</v>
      </c>
      <c r="O92" s="192" t="str">
        <f>IF(OR(O84="GS Süd",O84="GS Nord"),"Ja!","Nein")</f>
        <v>Ja!</v>
      </c>
      <c r="Y92" s="122"/>
      <c r="Z92" s="122"/>
      <c r="AA92" s="122"/>
      <c r="AB92" s="122"/>
      <c r="AC92" s="122"/>
      <c r="AD92" s="122"/>
      <c r="AE92" s="122"/>
      <c r="AF92" s="122"/>
      <c r="AG92" s="122"/>
      <c r="AH92" s="122"/>
      <c r="AI92" s="122"/>
    </row>
    <row r="93" spans="1:35" s="192" customFormat="1">
      <c r="A93" s="413" t="s">
        <v>241</v>
      </c>
      <c r="B93" s="413" t="s">
        <v>214</v>
      </c>
      <c r="C93" s="413"/>
      <c r="D93" s="413"/>
      <c r="G93" s="192" t="s">
        <v>190</v>
      </c>
      <c r="M93" s="192" t="s">
        <v>212</v>
      </c>
      <c r="O93" s="192" t="str">
        <f>IF(OR(O86="Ja!",C8="Leistungssport Kader"),"Ja!","Nein")</f>
        <v>Nein</v>
      </c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</row>
    <row r="94" spans="1:35" s="192" customFormat="1">
      <c r="A94" s="413" t="s">
        <v>242</v>
      </c>
      <c r="B94" s="413" t="s">
        <v>214</v>
      </c>
      <c r="C94" s="413"/>
      <c r="D94" s="413"/>
      <c r="G94" s="192" t="s">
        <v>206</v>
      </c>
      <c r="Y94" s="122"/>
      <c r="Z94" s="122"/>
      <c r="AA94" s="122"/>
      <c r="AB94" s="122"/>
      <c r="AC94" s="122"/>
      <c r="AD94" s="122"/>
      <c r="AE94" s="122"/>
      <c r="AF94" s="122"/>
      <c r="AG94" s="122"/>
      <c r="AH94" s="122"/>
      <c r="AI94" s="122"/>
    </row>
    <row r="95" spans="1:35" s="192" customFormat="1">
      <c r="A95" s="413" t="s">
        <v>199</v>
      </c>
      <c r="B95" s="413" t="s">
        <v>214</v>
      </c>
      <c r="C95" s="413"/>
      <c r="D95" s="413"/>
      <c r="G95" s="192" t="s">
        <v>251</v>
      </c>
      <c r="M95" s="192" t="s">
        <v>182</v>
      </c>
      <c r="Y95" s="122"/>
      <c r="Z95" s="122"/>
      <c r="AA95" s="122"/>
      <c r="AB95" s="122"/>
      <c r="AC95" s="122"/>
      <c r="AD95" s="122"/>
      <c r="AE95" s="122"/>
      <c r="AF95" s="122"/>
      <c r="AG95" s="122"/>
      <c r="AH95" s="122"/>
      <c r="AI95" s="122"/>
    </row>
    <row r="96" spans="1:35" s="192" customFormat="1">
      <c r="A96" s="413" t="s">
        <v>231</v>
      </c>
      <c r="B96" s="413" t="s">
        <v>214</v>
      </c>
      <c r="C96" s="413"/>
      <c r="D96" s="413"/>
      <c r="G96" s="192" t="s">
        <v>245</v>
      </c>
      <c r="M96" s="192" t="s">
        <v>229</v>
      </c>
      <c r="Y96" s="122"/>
      <c r="Z96" s="122"/>
      <c r="AA96" s="122"/>
      <c r="AB96" s="122"/>
      <c r="AC96" s="122"/>
      <c r="AD96" s="122"/>
      <c r="AE96" s="122"/>
      <c r="AF96" s="122"/>
      <c r="AG96" s="122"/>
      <c r="AH96" s="122"/>
      <c r="AI96" s="122"/>
    </row>
    <row r="97" spans="1:35" s="192" customFormat="1">
      <c r="A97" s="413" t="s">
        <v>178</v>
      </c>
      <c r="B97" s="413" t="s">
        <v>214</v>
      </c>
      <c r="C97" s="413"/>
      <c r="D97" s="413"/>
      <c r="G97" s="192" t="s">
        <v>208</v>
      </c>
      <c r="M97" s="192" t="s">
        <v>222</v>
      </c>
      <c r="Y97" s="122"/>
      <c r="Z97" s="122"/>
      <c r="AA97" s="122"/>
      <c r="AB97" s="122"/>
      <c r="AC97" s="122"/>
      <c r="AD97" s="122"/>
      <c r="AE97" s="122"/>
      <c r="AF97" s="122"/>
      <c r="AG97" s="122"/>
      <c r="AH97" s="122"/>
      <c r="AI97" s="122"/>
    </row>
    <row r="98" spans="1:35" s="192" customFormat="1">
      <c r="A98" s="413" t="s">
        <v>196</v>
      </c>
      <c r="B98" s="413" t="s">
        <v>214</v>
      </c>
      <c r="C98" s="413"/>
      <c r="D98" s="413"/>
      <c r="G98" s="192" t="s">
        <v>207</v>
      </c>
      <c r="Y98" s="122"/>
      <c r="Z98" s="122"/>
      <c r="AA98" s="122"/>
      <c r="AB98" s="122"/>
      <c r="AC98" s="122"/>
      <c r="AD98" s="122"/>
      <c r="AE98" s="122"/>
      <c r="AF98" s="122"/>
      <c r="AG98" s="122"/>
      <c r="AH98" s="122"/>
      <c r="AI98" s="122"/>
    </row>
    <row r="99" spans="1:35" s="192" customFormat="1">
      <c r="A99" s="413" t="s">
        <v>184</v>
      </c>
      <c r="B99" s="413" t="s">
        <v>214</v>
      </c>
      <c r="C99" s="413"/>
      <c r="D99" s="413"/>
      <c r="M99" s="192" t="s">
        <v>223</v>
      </c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  <c r="AA99" s="122"/>
      <c r="AB99" s="122"/>
      <c r="AC99" s="122"/>
      <c r="AD99" s="122"/>
      <c r="AE99" s="122"/>
      <c r="AF99" s="122"/>
      <c r="AG99" s="122"/>
      <c r="AH99" s="122"/>
      <c r="AI99" s="122"/>
    </row>
    <row r="100" spans="1:35" s="192" customFormat="1">
      <c r="A100" s="413" t="s">
        <v>201</v>
      </c>
      <c r="B100" s="413" t="s">
        <v>216</v>
      </c>
      <c r="C100" s="413"/>
      <c r="D100" s="413"/>
      <c r="M100" s="192" t="s">
        <v>224</v>
      </c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  <c r="AA100" s="122"/>
      <c r="AB100" s="122"/>
      <c r="AC100" s="122"/>
      <c r="AD100" s="122"/>
      <c r="AE100" s="122"/>
      <c r="AF100" s="122"/>
      <c r="AG100" s="122"/>
      <c r="AH100" s="122"/>
      <c r="AI100" s="122"/>
    </row>
    <row r="101" spans="1:35" s="192" customFormat="1">
      <c r="A101" s="413" t="s">
        <v>205</v>
      </c>
      <c r="B101" s="413" t="s">
        <v>220</v>
      </c>
      <c r="C101" s="413"/>
      <c r="D101" s="413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2"/>
      <c r="AH101" s="122"/>
      <c r="AI101" s="122"/>
    </row>
    <row r="102" spans="1:35" s="192" customFormat="1">
      <c r="A102" s="413" t="s">
        <v>204</v>
      </c>
      <c r="B102" s="413" t="s">
        <v>219</v>
      </c>
      <c r="C102" s="413"/>
      <c r="D102" s="413"/>
      <c r="M102" s="192" t="s">
        <v>225</v>
      </c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  <c r="AA102" s="122"/>
      <c r="AB102" s="122"/>
      <c r="AC102" s="122"/>
      <c r="AD102" s="122"/>
      <c r="AE102" s="122"/>
      <c r="AF102" s="122"/>
      <c r="AG102" s="122"/>
      <c r="AH102" s="122"/>
      <c r="AI102" s="122"/>
    </row>
    <row r="103" spans="1:35" s="192" customFormat="1">
      <c r="A103" s="413" t="s">
        <v>202</v>
      </c>
      <c r="B103" s="413" t="s">
        <v>217</v>
      </c>
      <c r="C103" s="413"/>
      <c r="D103" s="413"/>
      <c r="M103" s="192" t="s">
        <v>240</v>
      </c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22"/>
      <c r="AH103" s="122"/>
      <c r="AI103" s="122"/>
    </row>
    <row r="104" spans="1:35" s="192" customFormat="1">
      <c r="A104" s="413" t="s">
        <v>203</v>
      </c>
      <c r="B104" s="413" t="s">
        <v>218</v>
      </c>
      <c r="M104" s="192" t="s">
        <v>244</v>
      </c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  <c r="AA104" s="122"/>
      <c r="AB104" s="122"/>
      <c r="AC104" s="122"/>
      <c r="AD104" s="122"/>
      <c r="AE104" s="122"/>
      <c r="AF104" s="122"/>
      <c r="AG104" s="122"/>
      <c r="AH104" s="122"/>
      <c r="AI104" s="122"/>
    </row>
    <row r="105" spans="1:35" s="192" customFormat="1">
      <c r="A105" s="413" t="s">
        <v>200</v>
      </c>
      <c r="B105" s="413" t="s">
        <v>215</v>
      </c>
      <c r="D105" s="192" t="s">
        <v>214</v>
      </c>
      <c r="E105" s="192" t="str">
        <f>Tagessätze!Q3</f>
        <v>ja</v>
      </c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  <c r="AA105" s="122"/>
      <c r="AB105" s="122"/>
      <c r="AC105" s="122"/>
      <c r="AD105" s="122"/>
      <c r="AE105" s="122"/>
      <c r="AF105" s="122"/>
      <c r="AG105" s="122"/>
      <c r="AH105" s="122"/>
      <c r="AI105" s="122"/>
    </row>
    <row r="106" spans="1:35">
      <c r="A106" s="192"/>
      <c r="B106" s="192"/>
      <c r="C106" s="192"/>
      <c r="D106" s="192" t="s">
        <v>213</v>
      </c>
      <c r="E106" s="192" t="str">
        <f>Tagessätze!Q3</f>
        <v>ja</v>
      </c>
      <c r="F106" s="192" t="s">
        <v>347</v>
      </c>
      <c r="G106" s="192"/>
      <c r="H106" s="192"/>
      <c r="I106" s="192"/>
      <c r="J106" s="192"/>
      <c r="K106" s="192"/>
      <c r="L106" s="192"/>
      <c r="M106" s="192"/>
      <c r="N106" s="192"/>
    </row>
    <row r="107" spans="1:35">
      <c r="A107" s="192"/>
      <c r="B107" s="192"/>
      <c r="C107" s="192"/>
      <c r="D107" s="192" t="s">
        <v>216</v>
      </c>
      <c r="E107" s="192" t="str">
        <f>Tagessätze!Q4</f>
        <v>ja</v>
      </c>
      <c r="F107" s="192" t="s">
        <v>228</v>
      </c>
      <c r="G107" s="192"/>
      <c r="H107" s="192"/>
      <c r="I107" s="192"/>
      <c r="J107" s="192"/>
      <c r="K107" s="192"/>
      <c r="L107" s="192"/>
      <c r="M107" s="192"/>
      <c r="N107" s="192"/>
    </row>
    <row r="108" spans="1:35">
      <c r="A108" s="192"/>
      <c r="B108" s="192"/>
      <c r="C108" s="192"/>
      <c r="D108" s="192" t="s">
        <v>220</v>
      </c>
      <c r="E108" s="192" t="str">
        <f>Tagessätze!Q5</f>
        <v>ja</v>
      </c>
      <c r="F108" s="192" t="str">
        <f>Tagessätze!M4&amp;", "&amp;Tagessätze!N4&amp;", "&amp;Tagessätze!O4&amp;" "&amp;Tagessätze!P4</f>
        <v>Geschäftsstelle, Postfach 50 01 20, 80971 München</v>
      </c>
      <c r="G108" s="192"/>
      <c r="H108" s="192"/>
      <c r="I108" s="192"/>
      <c r="J108" s="192"/>
      <c r="K108" s="192"/>
      <c r="L108" s="192"/>
      <c r="M108" s="192"/>
      <c r="N108" s="192"/>
    </row>
    <row r="109" spans="1:35">
      <c r="A109" s="192"/>
      <c r="B109" s="192"/>
      <c r="C109" s="192"/>
      <c r="D109" s="192" t="s">
        <v>219</v>
      </c>
      <c r="E109" s="192" t="str">
        <f>Tagessätze!Q6</f>
        <v>ja</v>
      </c>
      <c r="F109" s="192" t="str">
        <f>Tagessätze!M5&amp;", "&amp;Tagessätze!N5&amp;", "&amp;Tagessätze!O5&amp;" "&amp;Tagessätze!P5</f>
        <v>Geschäftsstelle, Postfach 50 01 20, 80971 München</v>
      </c>
      <c r="G109" s="192"/>
      <c r="H109" s="192"/>
      <c r="I109" s="192"/>
      <c r="J109" s="192"/>
      <c r="K109" s="192"/>
      <c r="L109" s="192"/>
      <c r="M109" s="192"/>
      <c r="N109" s="192"/>
    </row>
    <row r="110" spans="1:35">
      <c r="A110" s="192"/>
      <c r="B110" s="192"/>
      <c r="C110" s="192"/>
      <c r="D110" s="192" t="s">
        <v>217</v>
      </c>
      <c r="E110" s="192" t="str">
        <f>Tagessätze!Q7</f>
        <v>ja</v>
      </c>
      <c r="F110" s="192" t="str">
        <f>Tagessätze!M6&amp;", "&amp;Tagessätze!N6&amp;", "&amp;Tagessätze!O6&amp;" "&amp;Tagessätze!P6</f>
        <v>Geschäftsstelle, Postfach 50 01 20, 80971 München</v>
      </c>
      <c r="G110" s="192"/>
      <c r="H110" s="192"/>
      <c r="I110" s="192"/>
      <c r="J110" s="192"/>
      <c r="K110" s="192"/>
      <c r="L110" s="192"/>
      <c r="M110" s="192"/>
      <c r="N110" s="192"/>
    </row>
    <row r="111" spans="1:35">
      <c r="A111" s="192"/>
      <c r="B111" s="192"/>
      <c r="C111" s="192"/>
      <c r="D111" s="192" t="s">
        <v>218</v>
      </c>
      <c r="E111" s="192" t="str">
        <f>Tagessätze!Q8</f>
        <v>ja</v>
      </c>
      <c r="F111" s="192" t="str">
        <f>Tagessätze!M7&amp;", "&amp;Tagessätze!N7&amp;", "&amp;Tagessätze!O7&amp;" "&amp;Tagessätze!P7</f>
        <v>Geschäftsstelle, Postfach 50 01 20, 80971 München</v>
      </c>
      <c r="G111" s="192"/>
      <c r="H111" s="192"/>
      <c r="I111" s="192"/>
      <c r="J111" s="192"/>
      <c r="K111" s="192"/>
      <c r="L111" s="192"/>
      <c r="M111" s="192"/>
      <c r="N111" s="192"/>
    </row>
    <row r="112" spans="1:35">
      <c r="A112" s="192"/>
      <c r="B112" s="192"/>
      <c r="C112" s="192"/>
      <c r="D112" s="192" t="s">
        <v>215</v>
      </c>
      <c r="E112" s="192" t="str">
        <f>Tagessätze!Q9</f>
        <v>ja</v>
      </c>
      <c r="F112" s="192" t="str">
        <f>Tagessätze!M8&amp;", "&amp;Tagessätze!N8&amp;", "&amp;Tagessätze!O8&amp;" "&amp;Tagessätze!P8</f>
        <v>Geschäftsstelle, Postfach 50 01 20, 80971 München</v>
      </c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</row>
    <row r="113" spans="1:21">
      <c r="A113" s="192"/>
      <c r="B113" s="192"/>
      <c r="C113" s="192"/>
      <c r="D113" s="192"/>
      <c r="E113" s="192"/>
      <c r="F113" s="192" t="str">
        <f>Tagessätze!M9&amp;", "&amp;Tagessätze!N9&amp;", "&amp;Tagessätze!O9&amp;" "&amp;Tagessätze!P9</f>
        <v>Geschäftsstelle, Postfach 50 01 20, 80971 München</v>
      </c>
      <c r="G113" s="192"/>
      <c r="H113" s="192"/>
      <c r="I113" s="192"/>
      <c r="J113" s="192"/>
      <c r="K113" s="192"/>
      <c r="L113" s="192"/>
      <c r="M113" s="192"/>
      <c r="N113" s="192"/>
      <c r="O113" s="192"/>
      <c r="P113" s="192"/>
      <c r="Q113" s="192"/>
      <c r="R113" s="192"/>
      <c r="S113" s="192"/>
      <c r="T113" s="192"/>
      <c r="U113" s="192"/>
    </row>
    <row r="114" spans="1:21">
      <c r="A114" s="192"/>
      <c r="B114" s="192"/>
      <c r="C114" s="192"/>
      <c r="D114" s="192"/>
      <c r="E114" s="192"/>
      <c r="F114" s="192"/>
      <c r="G114" s="192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</row>
    <row r="115" spans="1:21">
      <c r="F115" s="192"/>
      <c r="G115" s="192"/>
      <c r="H115" s="192"/>
      <c r="I115" s="192"/>
      <c r="J115" s="192"/>
      <c r="K115" s="192"/>
      <c r="L115" s="192"/>
      <c r="M115" s="192"/>
      <c r="N115" s="192"/>
      <c r="O115" s="192"/>
      <c r="P115" s="192"/>
      <c r="Q115" s="192"/>
      <c r="R115" s="192"/>
      <c r="S115" s="192"/>
      <c r="T115" s="192"/>
      <c r="U115" s="192"/>
    </row>
    <row r="116" spans="1:21"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</row>
    <row r="117" spans="1:21">
      <c r="N117" s="192"/>
      <c r="O117" s="192"/>
      <c r="P117" s="192"/>
      <c r="Q117" s="192"/>
      <c r="R117" s="192"/>
      <c r="S117" s="192"/>
      <c r="T117" s="192"/>
      <c r="U117" s="192"/>
    </row>
    <row r="118" spans="1:21">
      <c r="N118" s="192"/>
      <c r="O118" s="192"/>
      <c r="P118" s="192"/>
      <c r="Q118" s="192"/>
      <c r="R118" s="192"/>
      <c r="S118" s="192"/>
      <c r="T118" s="192"/>
      <c r="U118" s="192"/>
    </row>
    <row r="119" spans="1:21">
      <c r="A119" s="192"/>
      <c r="B119" s="192"/>
      <c r="C119" s="192"/>
      <c r="D119" s="192"/>
      <c r="E119" s="192"/>
      <c r="N119" s="192"/>
      <c r="O119" s="192"/>
      <c r="P119" s="192"/>
      <c r="Q119" s="192"/>
      <c r="R119" s="192"/>
      <c r="S119" s="192"/>
      <c r="T119" s="192"/>
      <c r="U119" s="192"/>
    </row>
    <row r="120" spans="1:21">
      <c r="A120" s="192"/>
      <c r="B120" s="192"/>
      <c r="C120" s="192"/>
      <c r="D120" s="192"/>
      <c r="E120" s="192"/>
      <c r="F120" s="192"/>
      <c r="N120" s="192"/>
      <c r="O120" s="192"/>
      <c r="P120" s="192"/>
      <c r="Q120" s="192"/>
      <c r="R120" s="192"/>
      <c r="S120" s="192"/>
      <c r="T120" s="192"/>
      <c r="U120" s="192"/>
    </row>
    <row r="121" spans="1:21">
      <c r="A121" s="192"/>
      <c r="B121" s="192"/>
      <c r="C121" s="192"/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</row>
    <row r="122" spans="1:21">
      <c r="F122" s="192"/>
      <c r="G122" s="192"/>
      <c r="H122" s="192"/>
      <c r="I122" s="192"/>
      <c r="J122" s="192"/>
      <c r="K122" s="192"/>
      <c r="L122" s="192"/>
      <c r="M122" s="192"/>
      <c r="N122" s="192"/>
      <c r="O122" s="192"/>
      <c r="P122" s="192"/>
      <c r="Q122" s="192"/>
      <c r="R122" s="192"/>
      <c r="S122" s="192"/>
      <c r="T122" s="192"/>
    </row>
    <row r="123" spans="1:21">
      <c r="G123" s="192"/>
      <c r="H123" s="192"/>
      <c r="I123" s="192"/>
      <c r="J123" s="192"/>
      <c r="K123" s="192"/>
      <c r="L123" s="192"/>
      <c r="M123" s="192"/>
    </row>
  </sheetData>
  <sheetProtection algorithmName="SHA-512" hashValue="m9u2uU3sPJGH5oh4ciweo8D93H3MGYuXyGCvVvgxs0xnV2ZM/lHPeiJ79/zWkDe8ejLhi9CHQn/g8BU9/R66Qw==" saltValue="wStB2BYGobDpPSk/PgvSaA==" spinCount="100000" sheet="1" selectLockedCells="1"/>
  <sortState xmlns:xlrd2="http://schemas.microsoft.com/office/spreadsheetml/2017/richdata2" ref="G87:G93">
    <sortCondition ref="G93"/>
  </sortState>
  <mergeCells count="69">
    <mergeCell ref="C9:M9"/>
    <mergeCell ref="D6:K6"/>
    <mergeCell ref="F33:G33"/>
    <mergeCell ref="D10:F10"/>
    <mergeCell ref="H10:M10"/>
    <mergeCell ref="C7:E7"/>
    <mergeCell ref="G7:M7"/>
    <mergeCell ref="F25:G25"/>
    <mergeCell ref="B26:C26"/>
    <mergeCell ref="F26:G26"/>
    <mergeCell ref="A33:C33"/>
    <mergeCell ref="B25:C25"/>
    <mergeCell ref="L13:M13"/>
    <mergeCell ref="F18:G18"/>
    <mergeCell ref="F19:G19"/>
    <mergeCell ref="F20:G20"/>
    <mergeCell ref="G82:M82"/>
    <mergeCell ref="A77:E77"/>
    <mergeCell ref="A78:E78"/>
    <mergeCell ref="A79:E79"/>
    <mergeCell ref="A80:E80"/>
    <mergeCell ref="G80:M81"/>
    <mergeCell ref="G75:M77"/>
    <mergeCell ref="A74:E76"/>
    <mergeCell ref="G74:M74"/>
    <mergeCell ref="G78:M78"/>
    <mergeCell ref="B47:C47"/>
    <mergeCell ref="F56:G56"/>
    <mergeCell ref="B52:C52"/>
    <mergeCell ref="F52:G52"/>
    <mergeCell ref="F51:G51"/>
    <mergeCell ref="B51:C51"/>
    <mergeCell ref="A72:I72"/>
    <mergeCell ref="C67:G67"/>
    <mergeCell ref="C68:G68"/>
    <mergeCell ref="B48:C48"/>
    <mergeCell ref="F48:G48"/>
    <mergeCell ref="B2:L2"/>
    <mergeCell ref="C8:M8"/>
    <mergeCell ref="F39:G39"/>
    <mergeCell ref="F35:G35"/>
    <mergeCell ref="F38:G38"/>
    <mergeCell ref="A35:C35"/>
    <mergeCell ref="A39:C39"/>
    <mergeCell ref="B23:C23"/>
    <mergeCell ref="B24:C24"/>
    <mergeCell ref="F24:G24"/>
    <mergeCell ref="B27:C27"/>
    <mergeCell ref="F27:G27"/>
    <mergeCell ref="F14:G14"/>
    <mergeCell ref="F29:H29"/>
    <mergeCell ref="F23:G23"/>
    <mergeCell ref="A13:H13"/>
    <mergeCell ref="C5:K5"/>
    <mergeCell ref="C11:M11"/>
    <mergeCell ref="B49:C49"/>
    <mergeCell ref="F49:G49"/>
    <mergeCell ref="B50:C50"/>
    <mergeCell ref="F50:G50"/>
    <mergeCell ref="A41:C41"/>
    <mergeCell ref="F41:G41"/>
    <mergeCell ref="A34:C34"/>
    <mergeCell ref="F34:G34"/>
    <mergeCell ref="F37:G37"/>
    <mergeCell ref="A37:C37"/>
    <mergeCell ref="F47:G47"/>
    <mergeCell ref="F42:G42"/>
    <mergeCell ref="F43:G43"/>
    <mergeCell ref="A43:C43"/>
  </mergeCells>
  <dataValidations count="4">
    <dataValidation type="list" allowBlank="1" showInputMessage="1" showErrorMessage="1" sqref="C6 C10" xr:uid="{00000000-0002-0000-0000-000000000000}">
      <formula1>"x,o"</formula1>
    </dataValidation>
    <dataValidation type="decimal" operator="greaterThanOrEqual" allowBlank="1" showInputMessage="1" showErrorMessage="1" sqref="G63:G66 C63:C68 F47:G52 F37:G39 F41:G43 F23:G27 F33:G35 F18:G19" xr:uid="{00000000-0002-0000-0000-000001000000}">
      <formula1>0</formula1>
    </dataValidation>
    <dataValidation type="list" allowBlank="1" showInputMessage="1" showErrorMessage="1" sqref="C8:M8" xr:uid="{00000000-0002-0000-0000-000002000000}">
      <formula1>$A$85:$A$105</formula1>
    </dataValidation>
    <dataValidation type="list" allowBlank="1" showInputMessage="1" showErrorMessage="1" sqref="A23:A27 A47:A52" xr:uid="{00000000-0002-0000-0000-000003000000}">
      <formula1>$G$88:$G$98</formula1>
    </dataValidation>
  </dataValidations>
  <printOptions horizontalCentered="1" verticalCentered="1"/>
  <pageMargins left="0" right="0" top="0" bottom="0" header="0.31496062992125984" footer="0.31496062992125984"/>
  <pageSetup paperSize="9" scale="79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tabColor rgb="FFFFC000"/>
    <pageSetUpPr fitToPage="1"/>
  </sheetPr>
  <dimension ref="A1:N58"/>
  <sheetViews>
    <sheetView workbookViewId="0">
      <selection activeCell="B16" sqref="B16"/>
    </sheetView>
  </sheetViews>
  <sheetFormatPr baseColWidth="10" defaultColWidth="11.5703125" defaultRowHeight="14.25"/>
  <cols>
    <col min="1" max="16384" width="11.5703125" style="122"/>
  </cols>
  <sheetData>
    <row r="1" spans="1:13" ht="20.25">
      <c r="A1" s="784" t="s">
        <v>97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</row>
    <row r="2" spans="1:13" ht="17.25">
      <c r="A2" s="786" t="s">
        <v>276</v>
      </c>
      <c r="B2" s="787"/>
      <c r="C2" s="787"/>
      <c r="D2" s="787"/>
      <c r="E2" s="787"/>
      <c r="F2" s="787"/>
      <c r="G2" s="787"/>
      <c r="H2" s="787"/>
      <c r="I2" s="787"/>
      <c r="J2" s="787"/>
      <c r="K2" s="787"/>
      <c r="L2" s="787"/>
      <c r="M2" s="787"/>
    </row>
    <row r="3" spans="1:13">
      <c r="A3" s="788" t="s">
        <v>375</v>
      </c>
      <c r="B3" s="789"/>
      <c r="C3" s="789"/>
      <c r="D3" s="789"/>
      <c r="E3" s="789"/>
      <c r="F3" s="789"/>
      <c r="G3" s="789"/>
      <c r="H3" s="789"/>
      <c r="I3" s="789"/>
      <c r="J3" s="789"/>
      <c r="K3" s="789"/>
      <c r="L3" s="789"/>
      <c r="M3" s="789"/>
    </row>
    <row r="4" spans="1:13">
      <c r="A4" s="143"/>
    </row>
    <row r="5" spans="1:13" ht="16.5">
      <c r="A5" s="783" t="s">
        <v>162</v>
      </c>
      <c r="B5" s="783"/>
      <c r="C5" s="783"/>
      <c r="D5" s="144"/>
      <c r="E5" s="144"/>
      <c r="F5" s="144"/>
      <c r="G5" s="144"/>
      <c r="H5" s="144"/>
      <c r="I5" s="144"/>
      <c r="J5" s="144"/>
      <c r="K5" s="144"/>
      <c r="L5" s="144"/>
      <c r="M5" s="144"/>
    </row>
    <row r="6" spans="1:13" ht="14.45" customHeight="1">
      <c r="A6" s="155"/>
      <c r="B6" s="122" t="s">
        <v>163</v>
      </c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</row>
    <row r="7" spans="1:13" ht="15.6" customHeight="1">
      <c r="A7" s="155"/>
      <c r="B7" s="122" t="s">
        <v>250</v>
      </c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</row>
    <row r="8" spans="1:13" ht="15.6" customHeight="1">
      <c r="A8" s="155"/>
      <c r="B8" s="157" t="s">
        <v>249</v>
      </c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</row>
    <row r="9" spans="1:13" ht="15.6" customHeight="1">
      <c r="A9" s="155"/>
      <c r="B9" s="157" t="s">
        <v>246</v>
      </c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</row>
    <row r="10" spans="1:13" ht="16.5">
      <c r="A10" s="145"/>
      <c r="B10" s="148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</row>
    <row r="11" spans="1:13" s="146" customFormat="1" ht="16.5">
      <c r="A11" s="783" t="s">
        <v>164</v>
      </c>
      <c r="B11" s="783"/>
      <c r="C11" s="783"/>
      <c r="D11" s="144"/>
      <c r="E11" s="144"/>
      <c r="F11" s="144"/>
      <c r="G11" s="144"/>
      <c r="H11" s="144"/>
      <c r="I11" s="144"/>
      <c r="J11" s="144"/>
      <c r="K11" s="144"/>
      <c r="L11" s="144"/>
      <c r="M11" s="144"/>
    </row>
    <row r="12" spans="1:13" ht="16.5">
      <c r="A12" s="145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</row>
    <row r="13" spans="1:13">
      <c r="A13" s="155"/>
      <c r="B13" s="158" t="s">
        <v>169</v>
      </c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</row>
    <row r="14" spans="1:13" ht="16.5">
      <c r="A14" s="145"/>
      <c r="B14" s="149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</row>
    <row r="15" spans="1:13">
      <c r="A15" s="155"/>
      <c r="B15" s="159" t="s">
        <v>401</v>
      </c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</row>
    <row r="16" spans="1:13">
      <c r="A16" s="155"/>
      <c r="B16" s="160"/>
      <c r="C16" s="122" t="s">
        <v>376</v>
      </c>
      <c r="D16" s="156"/>
      <c r="E16" s="156"/>
      <c r="F16" s="156"/>
      <c r="H16" s="156"/>
      <c r="I16" s="156"/>
      <c r="J16" s="156"/>
      <c r="K16" s="156"/>
      <c r="L16" s="156"/>
      <c r="M16" s="156"/>
    </row>
    <row r="17" spans="1:13">
      <c r="A17" s="155"/>
      <c r="B17" s="160"/>
      <c r="D17" s="122" t="s">
        <v>377</v>
      </c>
      <c r="E17" s="156"/>
      <c r="F17" s="156"/>
      <c r="G17" s="156"/>
      <c r="H17" s="156"/>
      <c r="I17" s="156"/>
      <c r="J17" s="156"/>
      <c r="K17" s="156"/>
      <c r="L17" s="156"/>
      <c r="M17" s="156"/>
    </row>
    <row r="18" spans="1:13">
      <c r="A18" s="155"/>
      <c r="B18" s="160"/>
      <c r="C18" s="122" t="s">
        <v>277</v>
      </c>
      <c r="D18" s="156"/>
      <c r="E18" s="156"/>
      <c r="F18" s="156"/>
      <c r="G18" s="156"/>
      <c r="H18" s="156"/>
      <c r="I18" s="156"/>
      <c r="J18" s="156"/>
      <c r="K18" s="156"/>
      <c r="L18" s="156"/>
      <c r="M18" s="156"/>
    </row>
    <row r="19" spans="1:13">
      <c r="A19" s="155"/>
      <c r="C19" s="156" t="s">
        <v>386</v>
      </c>
      <c r="D19" s="156"/>
      <c r="E19" s="156"/>
      <c r="F19" s="156"/>
      <c r="G19" s="156"/>
      <c r="H19" s="156"/>
      <c r="I19" s="156"/>
      <c r="J19" s="156"/>
      <c r="K19" s="156"/>
      <c r="L19" s="156"/>
      <c r="M19" s="156"/>
    </row>
    <row r="20" spans="1:13">
      <c r="A20" s="155"/>
      <c r="C20" s="156" t="s">
        <v>387</v>
      </c>
      <c r="D20" s="156"/>
      <c r="E20" s="156"/>
      <c r="F20" s="156"/>
      <c r="G20" s="156"/>
      <c r="H20" s="156"/>
      <c r="I20" s="156"/>
      <c r="J20" s="156"/>
      <c r="K20" s="156"/>
      <c r="L20" s="156"/>
      <c r="M20" s="156"/>
    </row>
    <row r="21" spans="1:13" ht="16.5">
      <c r="A21" s="145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</row>
    <row r="22" spans="1:13">
      <c r="A22" s="155"/>
      <c r="B22" s="159" t="s">
        <v>167</v>
      </c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</row>
    <row r="23" spans="1:13">
      <c r="A23" s="155"/>
      <c r="B23" s="157"/>
      <c r="C23" s="156" t="s">
        <v>388</v>
      </c>
      <c r="D23" s="156"/>
      <c r="E23" s="156"/>
      <c r="F23" s="156"/>
      <c r="G23" s="156"/>
      <c r="H23" s="156"/>
      <c r="I23" s="156"/>
      <c r="J23" s="156"/>
      <c r="K23" s="156"/>
      <c r="L23" s="156"/>
      <c r="M23" s="156"/>
    </row>
    <row r="24" spans="1:13" ht="16.5">
      <c r="A24" s="145"/>
      <c r="B24" s="147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</row>
    <row r="25" spans="1:13">
      <c r="A25" s="155"/>
      <c r="B25" s="159" t="s">
        <v>378</v>
      </c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</row>
    <row r="26" spans="1:13">
      <c r="A26" s="155"/>
      <c r="B26" s="157"/>
      <c r="C26" s="156" t="s">
        <v>389</v>
      </c>
      <c r="D26" s="156"/>
      <c r="E26" s="156"/>
      <c r="F26" s="156"/>
      <c r="G26" s="156"/>
      <c r="H26" s="156"/>
      <c r="I26" s="156"/>
      <c r="J26" s="156"/>
      <c r="K26" s="156"/>
      <c r="L26" s="156"/>
      <c r="M26" s="156"/>
    </row>
    <row r="27" spans="1:13">
      <c r="A27" s="155"/>
      <c r="B27" s="157"/>
      <c r="C27" s="150" t="s">
        <v>390</v>
      </c>
      <c r="D27" s="156"/>
      <c r="E27" s="156"/>
      <c r="F27" s="156"/>
      <c r="G27" s="156"/>
      <c r="H27" s="156"/>
      <c r="I27" s="156"/>
      <c r="J27" s="156"/>
      <c r="K27" s="156"/>
      <c r="L27" s="156"/>
      <c r="M27" s="156"/>
    </row>
    <row r="28" spans="1:13">
      <c r="A28" s="155"/>
      <c r="B28" s="157"/>
      <c r="C28" s="150" t="s">
        <v>379</v>
      </c>
      <c r="D28" s="156"/>
      <c r="E28" s="156"/>
      <c r="F28" s="156"/>
      <c r="G28" s="156"/>
      <c r="H28" s="156"/>
      <c r="I28" s="156"/>
      <c r="J28" s="156"/>
      <c r="K28" s="156"/>
      <c r="L28" s="156"/>
      <c r="M28" s="156"/>
    </row>
    <row r="29" spans="1:13" ht="16.5">
      <c r="A29" s="145"/>
      <c r="B29" s="147"/>
      <c r="C29" s="150"/>
      <c r="D29" s="144"/>
      <c r="E29" s="144"/>
      <c r="F29" s="144"/>
      <c r="G29" s="144"/>
      <c r="H29" s="144"/>
      <c r="I29" s="144"/>
      <c r="J29" s="144"/>
      <c r="K29" s="144"/>
      <c r="L29" s="144"/>
      <c r="M29" s="144"/>
    </row>
    <row r="30" spans="1:13">
      <c r="A30" s="155"/>
      <c r="B30" s="159" t="s">
        <v>380</v>
      </c>
      <c r="C30" s="150"/>
      <c r="D30" s="156"/>
      <c r="E30" s="156"/>
      <c r="F30" s="156"/>
      <c r="G30" s="156"/>
      <c r="H30" s="156"/>
      <c r="I30" s="156"/>
      <c r="J30" s="156"/>
      <c r="K30" s="156"/>
      <c r="L30" s="156"/>
      <c r="M30" s="156"/>
    </row>
    <row r="31" spans="1:13">
      <c r="A31" s="155"/>
      <c r="B31" s="157"/>
      <c r="C31" s="156" t="s">
        <v>391</v>
      </c>
      <c r="E31" s="156"/>
      <c r="F31" s="156"/>
      <c r="G31" s="156"/>
      <c r="H31" s="156"/>
      <c r="I31" s="156"/>
      <c r="J31" s="156"/>
      <c r="K31" s="156"/>
      <c r="L31" s="156"/>
      <c r="M31" s="156"/>
    </row>
    <row r="32" spans="1:13">
      <c r="A32" s="155"/>
      <c r="B32" s="157"/>
      <c r="C32" s="156" t="s">
        <v>173</v>
      </c>
      <c r="E32" s="156"/>
      <c r="F32" s="156"/>
      <c r="G32" s="156"/>
      <c r="H32" s="156"/>
      <c r="I32" s="156"/>
      <c r="J32" s="156"/>
      <c r="K32" s="156"/>
      <c r="L32" s="156"/>
      <c r="M32" s="156"/>
    </row>
    <row r="33" spans="1:14">
      <c r="A33" s="155"/>
      <c r="B33" s="157"/>
      <c r="C33" s="156" t="s">
        <v>168</v>
      </c>
      <c r="E33" s="156"/>
      <c r="F33" s="156"/>
      <c r="G33" s="156"/>
      <c r="H33" s="156"/>
      <c r="I33" s="156"/>
      <c r="J33" s="156"/>
      <c r="K33" s="156"/>
      <c r="L33" s="156"/>
      <c r="M33" s="156"/>
    </row>
    <row r="34" spans="1:14" ht="16.5">
      <c r="A34" s="145"/>
      <c r="B34" s="147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</row>
    <row r="35" spans="1:14">
      <c r="A35" s="155"/>
      <c r="B35" s="159" t="s">
        <v>381</v>
      </c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</row>
    <row r="36" spans="1:14">
      <c r="A36" s="155"/>
      <c r="C36" s="156" t="s">
        <v>171</v>
      </c>
      <c r="D36" s="156"/>
      <c r="E36" s="156"/>
      <c r="F36" s="156"/>
      <c r="G36" s="156"/>
      <c r="H36" s="156"/>
      <c r="I36" s="156"/>
      <c r="J36" s="156"/>
      <c r="K36" s="156"/>
      <c r="L36" s="156"/>
      <c r="M36" s="156"/>
    </row>
    <row r="37" spans="1:14">
      <c r="A37" s="155"/>
      <c r="B37" s="157"/>
      <c r="C37" s="156" t="s">
        <v>170</v>
      </c>
      <c r="D37" s="156"/>
      <c r="E37" s="156"/>
      <c r="F37" s="156"/>
      <c r="G37" s="156"/>
      <c r="H37" s="156"/>
      <c r="I37" s="156"/>
      <c r="J37" s="156"/>
      <c r="K37" s="156"/>
      <c r="L37" s="156"/>
      <c r="M37" s="156"/>
    </row>
    <row r="38" spans="1:14">
      <c r="A38" s="155"/>
      <c r="B38" s="157"/>
      <c r="C38" s="156" t="s">
        <v>392</v>
      </c>
      <c r="D38" s="156"/>
      <c r="E38" s="156"/>
      <c r="F38" s="156"/>
      <c r="G38" s="156"/>
      <c r="H38" s="156"/>
      <c r="I38" s="156"/>
      <c r="J38" s="156"/>
      <c r="K38" s="156"/>
      <c r="L38" s="156"/>
      <c r="M38" s="156"/>
    </row>
    <row r="39" spans="1:14">
      <c r="A39" s="155"/>
      <c r="B39" s="157"/>
      <c r="C39" s="156" t="s">
        <v>247</v>
      </c>
      <c r="D39" s="156"/>
      <c r="E39" s="156"/>
      <c r="F39" s="156"/>
      <c r="G39" s="156"/>
      <c r="H39" s="156"/>
      <c r="I39" s="156"/>
      <c r="J39" s="156"/>
      <c r="K39" s="156"/>
      <c r="L39" s="156"/>
      <c r="M39" s="156"/>
    </row>
    <row r="40" spans="1:14">
      <c r="A40" s="155"/>
      <c r="B40" s="157"/>
      <c r="C40" s="156" t="s">
        <v>393</v>
      </c>
      <c r="D40" s="156"/>
      <c r="E40" s="156"/>
      <c r="F40" s="156"/>
      <c r="G40" s="156"/>
      <c r="H40" s="156"/>
      <c r="I40" s="156"/>
      <c r="J40" s="156"/>
      <c r="K40" s="156"/>
      <c r="L40" s="156"/>
      <c r="M40" s="156"/>
    </row>
    <row r="41" spans="1:14">
      <c r="A41" s="155"/>
      <c r="B41" s="157"/>
      <c r="C41" s="156" t="s">
        <v>248</v>
      </c>
      <c r="D41" s="156"/>
      <c r="E41" s="156"/>
      <c r="F41" s="156"/>
      <c r="G41" s="156"/>
      <c r="H41" s="156"/>
      <c r="I41" s="156"/>
      <c r="J41" s="156"/>
      <c r="K41" s="156"/>
      <c r="L41" s="156"/>
      <c r="M41" s="156"/>
    </row>
    <row r="42" spans="1:14" ht="16.5">
      <c r="A42" s="145"/>
      <c r="B42" s="147"/>
      <c r="D42" s="144"/>
      <c r="E42" s="144"/>
      <c r="F42" s="144"/>
      <c r="G42" s="144"/>
      <c r="H42" s="144"/>
      <c r="I42" s="144"/>
      <c r="J42" s="144"/>
      <c r="K42" s="144"/>
      <c r="L42" s="144"/>
      <c r="M42" s="144"/>
    </row>
    <row r="43" spans="1:14">
      <c r="A43" s="155"/>
      <c r="B43" s="159" t="s">
        <v>165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</row>
    <row r="44" spans="1:14" ht="16.5">
      <c r="A44" s="145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</row>
    <row r="45" spans="1:14">
      <c r="A45" s="155"/>
      <c r="B45" s="159" t="s">
        <v>166</v>
      </c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</row>
    <row r="46" spans="1:14" ht="16.5">
      <c r="A46" s="151"/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</row>
    <row r="47" spans="1:14" ht="17.25">
      <c r="A47" s="152"/>
      <c r="B47" s="159" t="s">
        <v>383</v>
      </c>
      <c r="N47" s="147"/>
    </row>
    <row r="48" spans="1:14" ht="17.25">
      <c r="A48" s="152"/>
      <c r="B48" s="159"/>
      <c r="C48" s="122" t="s">
        <v>384</v>
      </c>
      <c r="N48" s="147"/>
    </row>
    <row r="49" spans="1:14" ht="17.25">
      <c r="A49" s="152"/>
      <c r="B49" s="159"/>
      <c r="D49" s="501" t="s">
        <v>385</v>
      </c>
      <c r="N49" s="147"/>
    </row>
    <row r="50" spans="1:14" ht="17.25">
      <c r="A50" s="152"/>
      <c r="B50" s="159"/>
      <c r="D50" s="501"/>
      <c r="N50" s="147"/>
    </row>
    <row r="51" spans="1:14" ht="17.25">
      <c r="A51" s="153" t="s">
        <v>382</v>
      </c>
      <c r="N51" s="147"/>
    </row>
    <row r="52" spans="1:14" ht="17.25">
      <c r="A52" s="152"/>
      <c r="N52" s="148"/>
    </row>
    <row r="53" spans="1:14" ht="17.25">
      <c r="A53" s="152"/>
    </row>
    <row r="54" spans="1:14" ht="17.25">
      <c r="A54" s="152"/>
    </row>
    <row r="55" spans="1:14" ht="17.25">
      <c r="A55" s="154"/>
      <c r="N55" s="147"/>
    </row>
    <row r="56" spans="1:14" ht="17.25">
      <c r="A56" s="154"/>
      <c r="N56" s="148"/>
    </row>
    <row r="57" spans="1:14" ht="17.25">
      <c r="A57" s="154"/>
      <c r="N57" s="147"/>
    </row>
    <row r="58" spans="1:14" ht="17.25">
      <c r="A58" s="154"/>
      <c r="N58" s="147"/>
    </row>
  </sheetData>
  <sheetProtection algorithmName="SHA-512" hashValue="KMd7XGFdixfygFroxzFfqv/BroPDlmxhustiIKiT0vN+DXkKxGfhMUn8+kd5Go6qhyHoK5QCt6HjEbJKGbNQww==" saltValue="EIjFCtAEZOMDLaGYzW+mlQ==" spinCount="100000" sheet="1" objects="1" scenarios="1" selectLockedCells="1" selectUnlockedCells="1"/>
  <mergeCells count="5">
    <mergeCell ref="A5:C5"/>
    <mergeCell ref="A11:C11"/>
    <mergeCell ref="A1:M1"/>
    <mergeCell ref="A2:M2"/>
    <mergeCell ref="A3:M3"/>
  </mergeCells>
  <hyperlinks>
    <hyperlink ref="C28" r:id="rId1" display="o       Bei Abrechnungen auf  Gewerbeschein sind persönliche Rechnungen zu verwenden. Die Erklärung zur Selbständigkeit muss vorliegen. " xr:uid="{00000000-0004-0000-0600-000000000000}"/>
    <hyperlink ref="C27" r:id="rId2" display="o       Im Rahmen des Übungsleiterfreibetrags  - ausreichender Freibetrag! - ist das Abrechnungsformular &quot;Honorar&quot; zu verwenden" xr:uid="{00000000-0004-0000-0600-000001000000}"/>
    <hyperlink ref="D49" r:id="rId3" xr:uid="{BFDC7DAC-A8AD-4DC9-AFB5-F38FC3185A2C}"/>
  </hyperlinks>
  <pageMargins left="0.7" right="0.7" top="0.78740157499999996" bottom="0.78740157499999996" header="0.3" footer="0.3"/>
  <pageSetup paperSize="9" scale="56" orientation="landscape" r:id="rId4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tabColor rgb="FF00B050"/>
  </sheetPr>
  <dimension ref="A1:K126"/>
  <sheetViews>
    <sheetView showGridLines="0" view="pageLayout" topLeftCell="B22" zoomScaleNormal="100" workbookViewId="0">
      <selection activeCell="D45" sqref="D45:D46"/>
    </sheetView>
  </sheetViews>
  <sheetFormatPr baseColWidth="10" defaultColWidth="11.28515625" defaultRowHeight="12.75"/>
  <cols>
    <col min="1" max="1" width="2.7109375" customWidth="1"/>
    <col min="2" max="2" width="13.5703125" customWidth="1"/>
    <col min="3" max="3" width="21.5703125" customWidth="1"/>
    <col min="4" max="4" width="16.5703125" customWidth="1"/>
    <col min="5" max="5" width="8.5703125" customWidth="1"/>
    <col min="6" max="7" width="15.28515625" customWidth="1"/>
    <col min="8" max="8" width="10.28515625" customWidth="1"/>
    <col min="9" max="9" width="7.85546875" customWidth="1"/>
    <col min="10" max="10" width="11.28515625" customWidth="1"/>
    <col min="11" max="11" width="15.7109375" customWidth="1"/>
    <col min="12" max="12" width="2.28515625" customWidth="1"/>
  </cols>
  <sheetData>
    <row r="1" spans="1:11" ht="27.75" customHeight="1">
      <c r="C1" s="23"/>
      <c r="D1" s="24" t="s">
        <v>107</v>
      </c>
      <c r="E1" s="24"/>
      <c r="F1" s="25"/>
      <c r="H1" s="862" t="s">
        <v>108</v>
      </c>
      <c r="I1" s="863"/>
      <c r="J1" s="864" t="s">
        <v>109</v>
      </c>
      <c r="K1" s="865"/>
    </row>
    <row r="2" spans="1:11" s="26" customFormat="1" ht="22.5" customHeight="1">
      <c r="C2" s="23"/>
      <c r="D2" s="27" t="s">
        <v>322</v>
      </c>
      <c r="E2" s="28"/>
      <c r="F2" s="28"/>
      <c r="G2" s="28"/>
      <c r="H2" s="862" t="s">
        <v>110</v>
      </c>
      <c r="I2" s="863"/>
      <c r="J2" s="866"/>
      <c r="K2" s="867"/>
    </row>
    <row r="3" spans="1:11" ht="22.5" customHeight="1">
      <c r="D3" s="29"/>
      <c r="E3" s="1"/>
      <c r="H3" s="862" t="s">
        <v>111</v>
      </c>
      <c r="I3" s="863"/>
      <c r="J3" s="866" t="str">
        <f ca="1">"TF-"&amp;YEAR(TODAY())&amp;"-"</f>
        <v>TF-2025-</v>
      </c>
      <c r="K3" s="867"/>
    </row>
    <row r="4" spans="1:11" s="35" customFormat="1" ht="14.1" customHeight="1">
      <c r="A4" s="859" t="s">
        <v>112</v>
      </c>
      <c r="B4" s="859"/>
      <c r="C4" s="30"/>
      <c r="D4" s="31" t="s">
        <v>113</v>
      </c>
      <c r="E4" s="860"/>
      <c r="F4" s="860"/>
      <c r="G4" s="860"/>
      <c r="H4" s="32"/>
      <c r="I4" s="33"/>
      <c r="J4" s="33"/>
      <c r="K4" s="34"/>
    </row>
    <row r="5" spans="1:11" s="36" customFormat="1" ht="17.100000000000001" customHeight="1">
      <c r="C5" s="37" t="s">
        <v>114</v>
      </c>
      <c r="D5" s="38"/>
      <c r="E5" s="861" t="s">
        <v>115</v>
      </c>
      <c r="F5" s="861"/>
      <c r="G5" s="861"/>
      <c r="I5" s="868" t="s">
        <v>319</v>
      </c>
      <c r="J5" s="869"/>
      <c r="K5" s="39"/>
    </row>
    <row r="6" spans="1:11" ht="5.85" customHeight="1" thickBot="1">
      <c r="A6" s="40"/>
      <c r="B6" s="40"/>
    </row>
    <row r="7" spans="1:11" ht="13.5" customHeight="1" thickBot="1">
      <c r="A7" s="813" t="s">
        <v>116</v>
      </c>
      <c r="B7" s="814"/>
      <c r="C7" s="815"/>
      <c r="D7" s="822" t="s">
        <v>263</v>
      </c>
      <c r="E7" s="825" t="s">
        <v>118</v>
      </c>
      <c r="F7" s="828" t="s">
        <v>119</v>
      </c>
      <c r="G7" s="829"/>
      <c r="H7" s="810" t="s">
        <v>302</v>
      </c>
      <c r="I7" s="811"/>
      <c r="J7" s="811"/>
      <c r="K7" s="812"/>
    </row>
    <row r="8" spans="1:11" ht="13.5" customHeight="1">
      <c r="A8" s="816"/>
      <c r="B8" s="817"/>
      <c r="C8" s="818"/>
      <c r="D8" s="839"/>
      <c r="E8" s="841"/>
      <c r="F8" s="41" t="s">
        <v>120</v>
      </c>
      <c r="G8" s="41" t="s">
        <v>121</v>
      </c>
      <c r="H8" s="830" t="s">
        <v>73</v>
      </c>
      <c r="I8" s="831"/>
      <c r="J8" s="831"/>
      <c r="K8" s="832"/>
    </row>
    <row r="9" spans="1:11" ht="13.5" customHeight="1" thickBot="1">
      <c r="A9" s="819"/>
      <c r="B9" s="820"/>
      <c r="C9" s="821"/>
      <c r="D9" s="840"/>
      <c r="E9" s="842"/>
      <c r="F9" s="387" t="s">
        <v>122</v>
      </c>
      <c r="G9" s="387" t="s">
        <v>122</v>
      </c>
      <c r="H9" s="833"/>
      <c r="I9" s="834"/>
      <c r="J9" s="834"/>
      <c r="K9" s="835"/>
    </row>
    <row r="10" spans="1:11" ht="20.100000000000001" customHeight="1">
      <c r="A10" s="42">
        <v>1</v>
      </c>
      <c r="B10" s="836"/>
      <c r="C10" s="837"/>
      <c r="D10" s="838"/>
      <c r="E10" s="849"/>
      <c r="F10" s="43"/>
      <c r="G10" s="43"/>
      <c r="H10" s="850"/>
      <c r="I10" s="851"/>
      <c r="J10" s="851"/>
      <c r="K10" s="852"/>
    </row>
    <row r="11" spans="1:11" ht="20.100000000000001" customHeight="1">
      <c r="A11" s="44"/>
      <c r="B11" s="803"/>
      <c r="C11" s="804"/>
      <c r="D11" s="806"/>
      <c r="E11" s="806"/>
      <c r="F11" s="45"/>
      <c r="G11" s="45"/>
      <c r="H11" s="853"/>
      <c r="I11" s="854"/>
      <c r="J11" s="854"/>
      <c r="K11" s="855"/>
    </row>
    <row r="12" spans="1:11" ht="20.100000000000001" customHeight="1">
      <c r="A12" s="46">
        <v>2</v>
      </c>
      <c r="B12" s="808"/>
      <c r="C12" s="809"/>
      <c r="D12" s="807"/>
      <c r="E12" s="807"/>
      <c r="F12" s="47"/>
      <c r="G12" s="47"/>
      <c r="H12" s="856"/>
      <c r="I12" s="857"/>
      <c r="J12" s="857"/>
      <c r="K12" s="858"/>
    </row>
    <row r="13" spans="1:11" ht="20.100000000000001" customHeight="1">
      <c r="A13" s="44"/>
      <c r="B13" s="803"/>
      <c r="C13" s="804"/>
      <c r="D13" s="806"/>
      <c r="E13" s="806"/>
      <c r="F13" s="47"/>
      <c r="G13" s="47"/>
      <c r="H13" s="853"/>
      <c r="I13" s="854"/>
      <c r="J13" s="854"/>
      <c r="K13" s="855"/>
    </row>
    <row r="14" spans="1:11" ht="20.100000000000001" customHeight="1">
      <c r="A14" s="46">
        <v>3</v>
      </c>
      <c r="B14" s="808"/>
      <c r="C14" s="809"/>
      <c r="D14" s="807"/>
      <c r="E14" s="807"/>
      <c r="F14" s="47"/>
      <c r="G14" s="47"/>
      <c r="H14" s="793"/>
      <c r="I14" s="794"/>
      <c r="J14" s="794"/>
      <c r="K14" s="795"/>
    </row>
    <row r="15" spans="1:11" ht="20.100000000000001" customHeight="1">
      <c r="A15" s="44"/>
      <c r="B15" s="803"/>
      <c r="C15" s="804"/>
      <c r="D15" s="806"/>
      <c r="E15" s="806"/>
      <c r="F15" s="47"/>
      <c r="G15" s="47"/>
      <c r="H15" s="793"/>
      <c r="I15" s="794"/>
      <c r="J15" s="794"/>
      <c r="K15" s="795"/>
    </row>
    <row r="16" spans="1:11" ht="20.100000000000001" customHeight="1">
      <c r="A16" s="46">
        <v>4</v>
      </c>
      <c r="B16" s="808"/>
      <c r="C16" s="809"/>
      <c r="D16" s="807"/>
      <c r="E16" s="807"/>
      <c r="F16" s="47"/>
      <c r="G16" s="47"/>
      <c r="H16" s="793"/>
      <c r="I16" s="794"/>
      <c r="J16" s="794"/>
      <c r="K16" s="795"/>
    </row>
    <row r="17" spans="1:11" ht="20.100000000000001" customHeight="1">
      <c r="A17" s="44"/>
      <c r="B17" s="803"/>
      <c r="C17" s="804"/>
      <c r="D17" s="806"/>
      <c r="E17" s="806"/>
      <c r="F17" s="47"/>
      <c r="G17" s="47"/>
      <c r="H17" s="793"/>
      <c r="I17" s="794"/>
      <c r="J17" s="794"/>
      <c r="K17" s="795"/>
    </row>
    <row r="18" spans="1:11" ht="20.100000000000001" customHeight="1">
      <c r="A18" s="46">
        <v>5</v>
      </c>
      <c r="B18" s="808"/>
      <c r="C18" s="809"/>
      <c r="D18" s="807"/>
      <c r="E18" s="807"/>
      <c r="F18" s="47"/>
      <c r="G18" s="47"/>
      <c r="H18" s="793"/>
      <c r="I18" s="794"/>
      <c r="J18" s="794"/>
      <c r="K18" s="795"/>
    </row>
    <row r="19" spans="1:11" ht="20.100000000000001" customHeight="1">
      <c r="A19" s="44"/>
      <c r="B19" s="803"/>
      <c r="C19" s="804"/>
      <c r="D19" s="806"/>
      <c r="E19" s="806"/>
      <c r="F19" s="47"/>
      <c r="G19" s="47"/>
      <c r="H19" s="793"/>
      <c r="I19" s="794"/>
      <c r="J19" s="794"/>
      <c r="K19" s="795"/>
    </row>
    <row r="20" spans="1:11" ht="20.100000000000001" customHeight="1">
      <c r="A20" s="46">
        <v>6</v>
      </c>
      <c r="B20" s="808"/>
      <c r="C20" s="809"/>
      <c r="D20" s="807"/>
      <c r="E20" s="807"/>
      <c r="F20" s="47"/>
      <c r="G20" s="47"/>
      <c r="H20" s="793"/>
      <c r="I20" s="794"/>
      <c r="J20" s="794"/>
      <c r="K20" s="795"/>
    </row>
    <row r="21" spans="1:11" ht="20.100000000000001" customHeight="1">
      <c r="A21" s="44"/>
      <c r="B21" s="803"/>
      <c r="C21" s="804"/>
      <c r="D21" s="806"/>
      <c r="E21" s="806"/>
      <c r="F21" s="47"/>
      <c r="G21" s="47"/>
      <c r="H21" s="793"/>
      <c r="I21" s="794"/>
      <c r="J21" s="794"/>
      <c r="K21" s="795"/>
    </row>
    <row r="22" spans="1:11" ht="20.100000000000001" customHeight="1">
      <c r="A22" s="46">
        <v>7</v>
      </c>
      <c r="B22" s="808"/>
      <c r="C22" s="809"/>
      <c r="D22" s="807"/>
      <c r="E22" s="807"/>
      <c r="F22" s="47"/>
      <c r="G22" s="47"/>
      <c r="H22" s="793"/>
      <c r="I22" s="794"/>
      <c r="J22" s="794"/>
      <c r="K22" s="795"/>
    </row>
    <row r="23" spans="1:11" ht="20.100000000000001" customHeight="1">
      <c r="A23" s="44"/>
      <c r="B23" s="803"/>
      <c r="C23" s="804"/>
      <c r="D23" s="806"/>
      <c r="E23" s="806"/>
      <c r="F23" s="47"/>
      <c r="G23" s="47"/>
      <c r="H23" s="793"/>
      <c r="I23" s="794"/>
      <c r="J23" s="794"/>
      <c r="K23" s="795"/>
    </row>
    <row r="24" spans="1:11" ht="20.100000000000001" customHeight="1">
      <c r="A24" s="46">
        <v>8</v>
      </c>
      <c r="B24" s="808"/>
      <c r="C24" s="809"/>
      <c r="D24" s="807"/>
      <c r="E24" s="807"/>
      <c r="F24" s="47"/>
      <c r="G24" s="47"/>
      <c r="H24" s="793"/>
      <c r="I24" s="794"/>
      <c r="J24" s="794"/>
      <c r="K24" s="795"/>
    </row>
    <row r="25" spans="1:11" ht="20.100000000000001" customHeight="1">
      <c r="A25" s="44"/>
      <c r="B25" s="803"/>
      <c r="C25" s="804"/>
      <c r="D25" s="805"/>
      <c r="E25" s="806"/>
      <c r="F25" s="47"/>
      <c r="G25" s="47"/>
      <c r="H25" s="793"/>
      <c r="I25" s="794"/>
      <c r="J25" s="794"/>
      <c r="K25" s="795"/>
    </row>
    <row r="26" spans="1:11" ht="20.100000000000001" customHeight="1">
      <c r="A26" s="46">
        <v>9</v>
      </c>
      <c r="B26" s="808"/>
      <c r="C26" s="809"/>
      <c r="D26" s="807"/>
      <c r="E26" s="807"/>
      <c r="F26" s="47"/>
      <c r="G26" s="47"/>
      <c r="H26" s="793"/>
      <c r="I26" s="794"/>
      <c r="J26" s="794"/>
      <c r="K26" s="795"/>
    </row>
    <row r="27" spans="1:11" ht="20.100000000000001" customHeight="1" thickBot="1">
      <c r="A27" s="48"/>
      <c r="B27" s="843"/>
      <c r="C27" s="844"/>
      <c r="D27" s="845"/>
      <c r="E27" s="845"/>
      <c r="F27" s="49"/>
      <c r="G27" s="49"/>
      <c r="H27" s="793"/>
      <c r="I27" s="794"/>
      <c r="J27" s="794"/>
      <c r="K27" s="795"/>
    </row>
    <row r="28" spans="1:11" ht="19.5" customHeight="1" thickBot="1">
      <c r="A28" s="50"/>
      <c r="B28" s="51"/>
      <c r="I28" s="52"/>
      <c r="J28" s="63" t="s">
        <v>123</v>
      </c>
      <c r="K28" s="53">
        <f>SUM(H10:K27)</f>
        <v>0</v>
      </c>
    </row>
    <row r="29" spans="1:11" ht="19.5" customHeight="1">
      <c r="A29" s="50"/>
      <c r="E29" s="796" t="s">
        <v>124</v>
      </c>
      <c r="F29" s="796"/>
      <c r="G29" s="796"/>
      <c r="H29" s="796"/>
      <c r="I29" s="796"/>
    </row>
    <row r="30" spans="1:11" s="54" customFormat="1" ht="8.4499999999999993" customHeight="1">
      <c r="C30" s="55"/>
      <c r="D30" s="56"/>
    </row>
    <row r="31" spans="1:11" ht="19.5" customHeight="1">
      <c r="B31" s="23"/>
      <c r="C31" s="23"/>
      <c r="D31" s="29"/>
      <c r="E31" s="796" t="s">
        <v>125</v>
      </c>
      <c r="F31" s="796"/>
      <c r="G31" s="796"/>
      <c r="H31" s="796"/>
      <c r="I31" s="796"/>
      <c r="J31" s="797"/>
      <c r="K31" s="797"/>
    </row>
    <row r="32" spans="1:11" ht="19.5" customHeight="1" thickBot="1">
      <c r="B32" s="23"/>
      <c r="C32" s="23"/>
      <c r="D32" s="57" t="s">
        <v>126</v>
      </c>
      <c r="E32" s="798" t="str">
        <f ca="1">J3</f>
        <v>TF-2025-</v>
      </c>
      <c r="F32" s="799"/>
      <c r="G32" s="800"/>
      <c r="H32" s="58"/>
      <c r="I32" s="58"/>
      <c r="J32" s="58"/>
      <c r="K32" s="58"/>
    </row>
    <row r="33" spans="1:11" ht="19.5" customHeight="1" thickBot="1">
      <c r="J33" s="388" t="s">
        <v>127</v>
      </c>
      <c r="K33" s="389">
        <f>K28</f>
        <v>0</v>
      </c>
    </row>
    <row r="34" spans="1:11" ht="13.5" customHeight="1" thickBot="1">
      <c r="A34" s="813" t="s">
        <v>116</v>
      </c>
      <c r="B34" s="814"/>
      <c r="C34" s="815"/>
      <c r="D34" s="822" t="s">
        <v>117</v>
      </c>
      <c r="E34" s="825" t="s">
        <v>118</v>
      </c>
      <c r="F34" s="828" t="s">
        <v>119</v>
      </c>
      <c r="G34" s="829"/>
      <c r="H34" s="810" t="s">
        <v>302</v>
      </c>
      <c r="I34" s="811"/>
      <c r="J34" s="811"/>
      <c r="K34" s="812"/>
    </row>
    <row r="35" spans="1:11" ht="13.5" customHeight="1">
      <c r="A35" s="816"/>
      <c r="B35" s="817"/>
      <c r="C35" s="818"/>
      <c r="D35" s="823"/>
      <c r="E35" s="826"/>
      <c r="F35" s="41" t="s">
        <v>120</v>
      </c>
      <c r="G35" s="41" t="s">
        <v>121</v>
      </c>
      <c r="H35" s="846" t="s">
        <v>73</v>
      </c>
      <c r="I35" s="847"/>
      <c r="J35" s="847"/>
      <c r="K35" s="848"/>
    </row>
    <row r="36" spans="1:11" ht="13.5" customHeight="1" thickBot="1">
      <c r="A36" s="819"/>
      <c r="B36" s="820"/>
      <c r="C36" s="821"/>
      <c r="D36" s="824"/>
      <c r="E36" s="827"/>
      <c r="F36" s="387" t="s">
        <v>122</v>
      </c>
      <c r="G36" s="387" t="s">
        <v>122</v>
      </c>
      <c r="H36" s="833"/>
      <c r="I36" s="834"/>
      <c r="J36" s="834"/>
      <c r="K36" s="835"/>
    </row>
    <row r="37" spans="1:11" ht="19.5" customHeight="1">
      <c r="A37" s="46">
        <v>10</v>
      </c>
      <c r="B37" s="801"/>
      <c r="C37" s="802"/>
      <c r="D37" s="805"/>
      <c r="E37" s="807"/>
      <c r="F37" s="60"/>
      <c r="G37" s="60"/>
      <c r="H37" s="790"/>
      <c r="I37" s="791"/>
      <c r="J37" s="791"/>
      <c r="K37" s="792"/>
    </row>
    <row r="38" spans="1:11" ht="19.5" customHeight="1">
      <c r="A38" s="44"/>
      <c r="B38" s="803"/>
      <c r="C38" s="804"/>
      <c r="D38" s="806"/>
      <c r="E38" s="806"/>
      <c r="F38" s="60"/>
      <c r="G38" s="60"/>
      <c r="H38" s="793"/>
      <c r="I38" s="794"/>
      <c r="J38" s="794"/>
      <c r="K38" s="795"/>
    </row>
    <row r="39" spans="1:11" ht="19.5" customHeight="1">
      <c r="A39" s="46">
        <v>11</v>
      </c>
      <c r="B39" s="801"/>
      <c r="C39" s="802"/>
      <c r="D39" s="805"/>
      <c r="E39" s="807"/>
      <c r="F39" s="60"/>
      <c r="G39" s="60"/>
      <c r="H39" s="793"/>
      <c r="I39" s="794"/>
      <c r="J39" s="794"/>
      <c r="K39" s="795"/>
    </row>
    <row r="40" spans="1:11" ht="19.5" customHeight="1">
      <c r="A40" s="46"/>
      <c r="B40" s="803"/>
      <c r="C40" s="804"/>
      <c r="D40" s="806"/>
      <c r="E40" s="806"/>
      <c r="F40" s="60"/>
      <c r="G40" s="60"/>
      <c r="H40" s="793"/>
      <c r="I40" s="794"/>
      <c r="J40" s="794"/>
      <c r="K40" s="795"/>
    </row>
    <row r="41" spans="1:11" ht="19.5" customHeight="1">
      <c r="A41" s="61">
        <v>12</v>
      </c>
      <c r="B41" s="801"/>
      <c r="C41" s="802"/>
      <c r="D41" s="805"/>
      <c r="E41" s="807"/>
      <c r="F41" s="60"/>
      <c r="G41" s="60"/>
      <c r="H41" s="793"/>
      <c r="I41" s="794"/>
      <c r="J41" s="794"/>
      <c r="K41" s="795"/>
    </row>
    <row r="42" spans="1:11" ht="19.5" customHeight="1">
      <c r="A42" s="44"/>
      <c r="B42" s="803"/>
      <c r="C42" s="804"/>
      <c r="D42" s="806"/>
      <c r="E42" s="806"/>
      <c r="F42" s="60"/>
      <c r="G42" s="60"/>
      <c r="H42" s="793"/>
      <c r="I42" s="794"/>
      <c r="J42" s="794"/>
      <c r="K42" s="795"/>
    </row>
    <row r="43" spans="1:11" ht="19.5" customHeight="1">
      <c r="A43" s="46">
        <v>13</v>
      </c>
      <c r="B43" s="801"/>
      <c r="C43" s="802"/>
      <c r="D43" s="805"/>
      <c r="E43" s="807"/>
      <c r="F43" s="60"/>
      <c r="G43" s="60"/>
      <c r="H43" s="793"/>
      <c r="I43" s="794"/>
      <c r="J43" s="794"/>
      <c r="K43" s="795"/>
    </row>
    <row r="44" spans="1:11" ht="19.5" customHeight="1">
      <c r="A44" s="44"/>
      <c r="B44" s="803"/>
      <c r="C44" s="804"/>
      <c r="D44" s="806"/>
      <c r="E44" s="806"/>
      <c r="F44" s="60"/>
      <c r="G44" s="60"/>
      <c r="H44" s="793"/>
      <c r="I44" s="794"/>
      <c r="J44" s="794"/>
      <c r="K44" s="795"/>
    </row>
    <row r="45" spans="1:11" ht="19.5" customHeight="1">
      <c r="A45" s="46">
        <v>14</v>
      </c>
      <c r="B45" s="801"/>
      <c r="C45" s="802"/>
      <c r="D45" s="805"/>
      <c r="E45" s="807"/>
      <c r="F45" s="60"/>
      <c r="G45" s="60"/>
      <c r="H45" s="793"/>
      <c r="I45" s="794"/>
      <c r="J45" s="794"/>
      <c r="K45" s="795"/>
    </row>
    <row r="46" spans="1:11" ht="19.5" customHeight="1">
      <c r="A46" s="46"/>
      <c r="B46" s="803"/>
      <c r="C46" s="804"/>
      <c r="D46" s="806"/>
      <c r="E46" s="806"/>
      <c r="F46" s="60"/>
      <c r="G46" s="60"/>
      <c r="H46" s="793"/>
      <c r="I46" s="794"/>
      <c r="J46" s="794"/>
      <c r="K46" s="795"/>
    </row>
    <row r="47" spans="1:11" ht="19.5" customHeight="1">
      <c r="A47" s="61">
        <v>15</v>
      </c>
      <c r="B47" s="801"/>
      <c r="C47" s="802"/>
      <c r="D47" s="805"/>
      <c r="E47" s="807"/>
      <c r="F47" s="60"/>
      <c r="G47" s="60"/>
      <c r="H47" s="793"/>
      <c r="I47" s="794"/>
      <c r="J47" s="794"/>
      <c r="K47" s="795"/>
    </row>
    <row r="48" spans="1:11" ht="19.5" customHeight="1">
      <c r="A48" s="44"/>
      <c r="B48" s="803"/>
      <c r="C48" s="804"/>
      <c r="D48" s="806"/>
      <c r="E48" s="806"/>
      <c r="F48" s="60"/>
      <c r="G48" s="60"/>
      <c r="H48" s="793"/>
      <c r="I48" s="794"/>
      <c r="J48" s="794"/>
      <c r="K48" s="795"/>
    </row>
    <row r="49" spans="1:11" ht="19.5" customHeight="1">
      <c r="A49" s="61">
        <v>16</v>
      </c>
      <c r="B49" s="801"/>
      <c r="C49" s="802"/>
      <c r="D49" s="805"/>
      <c r="E49" s="807"/>
      <c r="F49" s="60"/>
      <c r="G49" s="60"/>
      <c r="H49" s="793"/>
      <c r="I49" s="794"/>
      <c r="J49" s="794"/>
      <c r="K49" s="795"/>
    </row>
    <row r="50" spans="1:11" ht="19.5" customHeight="1">
      <c r="A50" s="44"/>
      <c r="B50" s="803"/>
      <c r="C50" s="804"/>
      <c r="D50" s="806"/>
      <c r="E50" s="806"/>
      <c r="F50" s="60"/>
      <c r="G50" s="60"/>
      <c r="H50" s="793"/>
      <c r="I50" s="794"/>
      <c r="J50" s="794"/>
      <c r="K50" s="795"/>
    </row>
    <row r="51" spans="1:11" ht="19.5" customHeight="1">
      <c r="A51" s="46">
        <v>17</v>
      </c>
      <c r="B51" s="801"/>
      <c r="C51" s="802"/>
      <c r="D51" s="805"/>
      <c r="E51" s="807"/>
      <c r="F51" s="60"/>
      <c r="G51" s="60"/>
      <c r="H51" s="793"/>
      <c r="I51" s="794"/>
      <c r="J51" s="794"/>
      <c r="K51" s="795"/>
    </row>
    <row r="52" spans="1:11" ht="19.5" customHeight="1">
      <c r="A52" s="44"/>
      <c r="B52" s="803"/>
      <c r="C52" s="804"/>
      <c r="D52" s="806"/>
      <c r="E52" s="806"/>
      <c r="F52" s="60"/>
      <c r="G52" s="60"/>
      <c r="H52" s="793"/>
      <c r="I52" s="794"/>
      <c r="J52" s="794"/>
      <c r="K52" s="795"/>
    </row>
    <row r="53" spans="1:11" ht="19.5" customHeight="1">
      <c r="A53" s="46">
        <v>18</v>
      </c>
      <c r="B53" s="801"/>
      <c r="C53" s="802"/>
      <c r="D53" s="805"/>
      <c r="E53" s="807"/>
      <c r="F53" s="60"/>
      <c r="G53" s="60"/>
      <c r="H53" s="793"/>
      <c r="I53" s="794"/>
      <c r="J53" s="794"/>
      <c r="K53" s="795"/>
    </row>
    <row r="54" spans="1:11" ht="19.5" customHeight="1">
      <c r="A54" s="44"/>
      <c r="B54" s="803"/>
      <c r="C54" s="804"/>
      <c r="D54" s="806"/>
      <c r="E54" s="806"/>
      <c r="F54" s="60"/>
      <c r="G54" s="60"/>
      <c r="H54" s="793"/>
      <c r="I54" s="794"/>
      <c r="J54" s="794"/>
      <c r="K54" s="795"/>
    </row>
    <row r="55" spans="1:11" ht="19.5" customHeight="1">
      <c r="A55" s="46">
        <v>19</v>
      </c>
      <c r="B55" s="801"/>
      <c r="C55" s="802"/>
      <c r="D55" s="805"/>
      <c r="E55" s="807"/>
      <c r="F55" s="60"/>
      <c r="G55" s="60"/>
      <c r="H55" s="793"/>
      <c r="I55" s="794"/>
      <c r="J55" s="794"/>
      <c r="K55" s="795"/>
    </row>
    <row r="56" spans="1:11" ht="19.5" customHeight="1">
      <c r="A56" s="44"/>
      <c r="B56" s="803"/>
      <c r="C56" s="804"/>
      <c r="D56" s="806"/>
      <c r="E56" s="806"/>
      <c r="F56" s="60"/>
      <c r="G56" s="60"/>
      <c r="H56" s="793"/>
      <c r="I56" s="794"/>
      <c r="J56" s="794"/>
      <c r="K56" s="795"/>
    </row>
    <row r="57" spans="1:11" ht="19.5" customHeight="1">
      <c r="A57" s="46">
        <v>20</v>
      </c>
      <c r="B57" s="801"/>
      <c r="C57" s="802"/>
      <c r="D57" s="805"/>
      <c r="E57" s="807"/>
      <c r="F57" s="60"/>
      <c r="G57" s="60"/>
      <c r="H57" s="793"/>
      <c r="I57" s="794"/>
      <c r="J57" s="794"/>
      <c r="K57" s="795"/>
    </row>
    <row r="58" spans="1:11" ht="19.5" customHeight="1" thickBot="1">
      <c r="A58" s="48"/>
      <c r="B58" s="843"/>
      <c r="C58" s="844"/>
      <c r="D58" s="845"/>
      <c r="E58" s="845"/>
      <c r="F58" s="62"/>
      <c r="G58" s="62"/>
      <c r="H58" s="793"/>
      <c r="I58" s="794"/>
      <c r="J58" s="794"/>
      <c r="K58" s="795"/>
    </row>
    <row r="59" spans="1:11" ht="19.5" customHeight="1" thickBot="1">
      <c r="A59" s="50"/>
      <c r="B59" s="51"/>
      <c r="I59" s="52"/>
      <c r="J59" s="63" t="s">
        <v>123</v>
      </c>
      <c r="K59" s="64">
        <f>SUM(H37:K58)+K33</f>
        <v>0</v>
      </c>
    </row>
    <row r="60" spans="1:11" ht="19.5" customHeight="1">
      <c r="A60" s="50"/>
      <c r="E60" s="796" t="s">
        <v>124</v>
      </c>
      <c r="F60" s="796"/>
      <c r="G60" s="796"/>
      <c r="H60" s="796"/>
      <c r="I60" s="796"/>
    </row>
    <row r="61" spans="1:11" ht="8.4499999999999993" customHeight="1">
      <c r="A61" s="54"/>
      <c r="B61" s="54"/>
      <c r="C61" s="55"/>
      <c r="D61" s="56"/>
      <c r="E61" s="54"/>
      <c r="F61" s="54"/>
      <c r="G61" s="54"/>
      <c r="H61" s="54"/>
      <c r="I61" s="54"/>
      <c r="J61" s="54"/>
      <c r="K61" s="54"/>
    </row>
    <row r="62" spans="1:11" ht="19.5" customHeight="1">
      <c r="B62" s="23"/>
      <c r="C62" s="23"/>
      <c r="D62" s="29"/>
      <c r="E62" s="65" t="s">
        <v>125</v>
      </c>
      <c r="F62" s="65"/>
      <c r="G62" s="65"/>
      <c r="H62" s="65"/>
      <c r="I62" s="65"/>
      <c r="J62" s="797"/>
      <c r="K62" s="797"/>
    </row>
    <row r="63" spans="1:11" ht="19.5" customHeight="1">
      <c r="B63" s="23"/>
      <c r="C63" s="23"/>
      <c r="D63" s="29"/>
      <c r="E63" s="65"/>
      <c r="F63" s="65"/>
      <c r="G63" s="65"/>
      <c r="H63" s="65"/>
      <c r="I63" s="65"/>
      <c r="J63" s="58"/>
      <c r="K63" s="58"/>
    </row>
    <row r="64" spans="1:11" ht="19.5" customHeight="1" thickBot="1">
      <c r="D64" s="57" t="s">
        <v>126</v>
      </c>
      <c r="E64" s="798" t="str">
        <f ca="1">J3</f>
        <v>TF-2025-</v>
      </c>
      <c r="F64" s="799"/>
      <c r="G64" s="800"/>
    </row>
    <row r="65" spans="1:11" ht="19.5" customHeight="1" thickBot="1">
      <c r="J65" s="59" t="s">
        <v>127</v>
      </c>
      <c r="K65" s="390">
        <f>K59</f>
        <v>0</v>
      </c>
    </row>
    <row r="66" spans="1:11" ht="13.5" customHeight="1" thickBot="1">
      <c r="A66" s="813" t="s">
        <v>116</v>
      </c>
      <c r="B66" s="814"/>
      <c r="C66" s="815"/>
      <c r="D66" s="822" t="s">
        <v>117</v>
      </c>
      <c r="E66" s="825" t="s">
        <v>118</v>
      </c>
      <c r="F66" s="828" t="s">
        <v>119</v>
      </c>
      <c r="G66" s="829"/>
      <c r="H66" s="810" t="s">
        <v>302</v>
      </c>
      <c r="I66" s="811"/>
      <c r="J66" s="811"/>
      <c r="K66" s="812"/>
    </row>
    <row r="67" spans="1:11" ht="13.5" customHeight="1">
      <c r="A67" s="816"/>
      <c r="B67" s="817"/>
      <c r="C67" s="818"/>
      <c r="D67" s="839"/>
      <c r="E67" s="841"/>
      <c r="F67" s="41" t="s">
        <v>120</v>
      </c>
      <c r="G67" s="41" t="s">
        <v>121</v>
      </c>
      <c r="H67" s="830" t="s">
        <v>73</v>
      </c>
      <c r="I67" s="831"/>
      <c r="J67" s="831"/>
      <c r="K67" s="832"/>
    </row>
    <row r="68" spans="1:11" ht="13.5" customHeight="1" thickBot="1">
      <c r="A68" s="819"/>
      <c r="B68" s="820"/>
      <c r="C68" s="821"/>
      <c r="D68" s="840"/>
      <c r="E68" s="842"/>
      <c r="F68" s="387" t="s">
        <v>122</v>
      </c>
      <c r="G68" s="387" t="s">
        <v>122</v>
      </c>
      <c r="H68" s="833"/>
      <c r="I68" s="834"/>
      <c r="J68" s="834"/>
      <c r="K68" s="835"/>
    </row>
    <row r="69" spans="1:11" ht="19.5" customHeight="1">
      <c r="A69" s="46">
        <v>21</v>
      </c>
      <c r="B69" s="836"/>
      <c r="C69" s="837"/>
      <c r="D69" s="838"/>
      <c r="E69" s="838"/>
      <c r="F69" s="60"/>
      <c r="G69" s="60"/>
      <c r="H69" s="790"/>
      <c r="I69" s="791"/>
      <c r="J69" s="791"/>
      <c r="K69" s="792"/>
    </row>
    <row r="70" spans="1:11" ht="19.5" customHeight="1">
      <c r="A70" s="44"/>
      <c r="B70" s="803"/>
      <c r="C70" s="804"/>
      <c r="D70" s="806"/>
      <c r="E70" s="806"/>
      <c r="F70" s="60"/>
      <c r="G70" s="60"/>
      <c r="H70" s="793"/>
      <c r="I70" s="794"/>
      <c r="J70" s="794"/>
      <c r="K70" s="795"/>
    </row>
    <row r="71" spans="1:11" ht="19.5" customHeight="1">
      <c r="A71" s="46">
        <v>22</v>
      </c>
      <c r="B71" s="808"/>
      <c r="C71" s="809"/>
      <c r="D71" s="807"/>
      <c r="E71" s="807"/>
      <c r="F71" s="60"/>
      <c r="G71" s="60"/>
      <c r="H71" s="793"/>
      <c r="I71" s="794"/>
      <c r="J71" s="794"/>
      <c r="K71" s="795"/>
    </row>
    <row r="72" spans="1:11" ht="19.5" customHeight="1">
      <c r="A72" s="44"/>
      <c r="B72" s="803"/>
      <c r="C72" s="804"/>
      <c r="D72" s="806"/>
      <c r="E72" s="806"/>
      <c r="F72" s="60"/>
      <c r="G72" s="60"/>
      <c r="H72" s="793"/>
      <c r="I72" s="794"/>
      <c r="J72" s="794"/>
      <c r="K72" s="795"/>
    </row>
    <row r="73" spans="1:11" ht="19.5" customHeight="1">
      <c r="A73" s="46">
        <v>23</v>
      </c>
      <c r="B73" s="808"/>
      <c r="C73" s="809"/>
      <c r="D73" s="807"/>
      <c r="E73" s="807"/>
      <c r="F73" s="60"/>
      <c r="G73" s="60"/>
      <c r="H73" s="793"/>
      <c r="I73" s="794"/>
      <c r="J73" s="794"/>
      <c r="K73" s="795"/>
    </row>
    <row r="74" spans="1:11" ht="19.5" customHeight="1">
      <c r="A74" s="44"/>
      <c r="B74" s="803"/>
      <c r="C74" s="804"/>
      <c r="D74" s="806"/>
      <c r="E74" s="806"/>
      <c r="F74" s="60"/>
      <c r="G74" s="60"/>
      <c r="H74" s="793"/>
      <c r="I74" s="794"/>
      <c r="J74" s="794"/>
      <c r="K74" s="795"/>
    </row>
    <row r="75" spans="1:11" ht="19.5" customHeight="1">
      <c r="A75" s="46">
        <v>24</v>
      </c>
      <c r="B75" s="808"/>
      <c r="C75" s="809"/>
      <c r="D75" s="807"/>
      <c r="E75" s="807"/>
      <c r="F75" s="60"/>
      <c r="G75" s="60"/>
      <c r="H75" s="793"/>
      <c r="I75" s="794"/>
      <c r="J75" s="794"/>
      <c r="K75" s="795"/>
    </row>
    <row r="76" spans="1:11" ht="19.5" customHeight="1">
      <c r="A76" s="44"/>
      <c r="B76" s="803"/>
      <c r="C76" s="804"/>
      <c r="D76" s="806"/>
      <c r="E76" s="806"/>
      <c r="F76" s="60"/>
      <c r="G76" s="60"/>
      <c r="H76" s="793"/>
      <c r="I76" s="794"/>
      <c r="J76" s="794"/>
      <c r="K76" s="795"/>
    </row>
    <row r="77" spans="1:11" ht="19.5" customHeight="1">
      <c r="A77" s="46">
        <v>25</v>
      </c>
      <c r="B77" s="808"/>
      <c r="C77" s="809"/>
      <c r="D77" s="807"/>
      <c r="E77" s="807"/>
      <c r="F77" s="60"/>
      <c r="G77" s="60"/>
      <c r="H77" s="793"/>
      <c r="I77" s="794"/>
      <c r="J77" s="794"/>
      <c r="K77" s="795"/>
    </row>
    <row r="78" spans="1:11" ht="19.5" customHeight="1">
      <c r="A78" s="44"/>
      <c r="B78" s="803"/>
      <c r="C78" s="804"/>
      <c r="D78" s="806"/>
      <c r="E78" s="806"/>
      <c r="F78" s="60"/>
      <c r="G78" s="60"/>
      <c r="H78" s="793"/>
      <c r="I78" s="794"/>
      <c r="J78" s="794"/>
      <c r="K78" s="795"/>
    </row>
    <row r="79" spans="1:11" ht="19.5" customHeight="1">
      <c r="A79" s="46">
        <v>26</v>
      </c>
      <c r="B79" s="808"/>
      <c r="C79" s="809"/>
      <c r="D79" s="807"/>
      <c r="E79" s="807"/>
      <c r="F79" s="60"/>
      <c r="G79" s="60"/>
      <c r="H79" s="793"/>
      <c r="I79" s="794"/>
      <c r="J79" s="794"/>
      <c r="K79" s="795"/>
    </row>
    <row r="80" spans="1:11" ht="19.5" customHeight="1">
      <c r="A80" s="44"/>
      <c r="B80" s="803"/>
      <c r="C80" s="804"/>
      <c r="D80" s="806"/>
      <c r="E80" s="806"/>
      <c r="F80" s="60"/>
      <c r="G80" s="60"/>
      <c r="H80" s="793"/>
      <c r="I80" s="794"/>
      <c r="J80" s="794"/>
      <c r="K80" s="795"/>
    </row>
    <row r="81" spans="1:11" ht="19.5" customHeight="1">
      <c r="A81" s="46">
        <v>27</v>
      </c>
      <c r="B81" s="808"/>
      <c r="C81" s="809"/>
      <c r="D81" s="807"/>
      <c r="E81" s="807"/>
      <c r="F81" s="60"/>
      <c r="G81" s="60"/>
      <c r="H81" s="793"/>
      <c r="I81" s="794"/>
      <c r="J81" s="794"/>
      <c r="K81" s="795"/>
    </row>
    <row r="82" spans="1:11" ht="19.5" customHeight="1">
      <c r="A82" s="44"/>
      <c r="B82" s="803"/>
      <c r="C82" s="804"/>
      <c r="D82" s="806"/>
      <c r="E82" s="806"/>
      <c r="F82" s="60"/>
      <c r="G82" s="60"/>
      <c r="H82" s="793"/>
      <c r="I82" s="794"/>
      <c r="J82" s="794"/>
      <c r="K82" s="795"/>
    </row>
    <row r="83" spans="1:11" ht="19.5" customHeight="1">
      <c r="A83" s="46">
        <v>28</v>
      </c>
      <c r="B83" s="808"/>
      <c r="C83" s="809"/>
      <c r="D83" s="807"/>
      <c r="E83" s="807"/>
      <c r="F83" s="60"/>
      <c r="G83" s="60"/>
      <c r="H83" s="793"/>
      <c r="I83" s="794"/>
      <c r="J83" s="794"/>
      <c r="K83" s="795"/>
    </row>
    <row r="84" spans="1:11" ht="19.5" customHeight="1">
      <c r="A84" s="44"/>
      <c r="B84" s="803"/>
      <c r="C84" s="804"/>
      <c r="D84" s="806"/>
      <c r="E84" s="806"/>
      <c r="F84" s="60"/>
      <c r="G84" s="60"/>
      <c r="H84" s="793"/>
      <c r="I84" s="794"/>
      <c r="J84" s="794"/>
      <c r="K84" s="795"/>
    </row>
    <row r="85" spans="1:11" ht="19.5" customHeight="1">
      <c r="A85" s="46">
        <v>29</v>
      </c>
      <c r="B85" s="808"/>
      <c r="C85" s="809"/>
      <c r="D85" s="807"/>
      <c r="E85" s="807"/>
      <c r="F85" s="60"/>
      <c r="G85" s="60"/>
      <c r="H85" s="793"/>
      <c r="I85" s="794"/>
      <c r="J85" s="794"/>
      <c r="K85" s="795"/>
    </row>
    <row r="86" spans="1:11" ht="19.5" customHeight="1">
      <c r="A86" s="44"/>
      <c r="B86" s="803"/>
      <c r="C86" s="804"/>
      <c r="D86" s="806"/>
      <c r="E86" s="806"/>
      <c r="F86" s="60"/>
      <c r="G86" s="60"/>
      <c r="H86" s="793"/>
      <c r="I86" s="794"/>
      <c r="J86" s="794"/>
      <c r="K86" s="795"/>
    </row>
    <row r="87" spans="1:11" ht="19.5" customHeight="1">
      <c r="A87" s="46">
        <v>30</v>
      </c>
      <c r="B87" s="808"/>
      <c r="C87" s="809"/>
      <c r="D87" s="807"/>
      <c r="E87" s="807"/>
      <c r="F87" s="60"/>
      <c r="G87" s="60"/>
      <c r="H87" s="793"/>
      <c r="I87" s="794"/>
      <c r="J87" s="794"/>
      <c r="K87" s="795"/>
    </row>
    <row r="88" spans="1:11" ht="19.5" customHeight="1">
      <c r="A88" s="44"/>
      <c r="B88" s="803"/>
      <c r="C88" s="804"/>
      <c r="D88" s="806"/>
      <c r="E88" s="806"/>
      <c r="F88" s="60"/>
      <c r="G88" s="60"/>
      <c r="H88" s="793"/>
      <c r="I88" s="794"/>
      <c r="J88" s="794"/>
      <c r="K88" s="795"/>
    </row>
    <row r="89" spans="1:11" ht="19.5" customHeight="1" thickBot="1">
      <c r="A89" s="50"/>
      <c r="B89" s="51"/>
      <c r="I89" s="52"/>
      <c r="J89" s="63" t="s">
        <v>123</v>
      </c>
      <c r="K89" s="64">
        <f>SUM(H69:K88)+K65</f>
        <v>0</v>
      </c>
    </row>
    <row r="90" spans="1:11" ht="19.5" customHeight="1">
      <c r="A90" s="50"/>
      <c r="B90" s="51"/>
      <c r="I90" s="52"/>
      <c r="J90" s="10"/>
      <c r="K90" s="66"/>
    </row>
    <row r="91" spans="1:11" ht="19.5" customHeight="1">
      <c r="A91" s="50"/>
      <c r="E91" s="796" t="s">
        <v>124</v>
      </c>
      <c r="F91" s="796"/>
      <c r="G91" s="796"/>
      <c r="H91" s="796"/>
      <c r="I91" s="796"/>
    </row>
    <row r="92" spans="1:11" ht="8.1" customHeight="1">
      <c r="A92" s="50"/>
      <c r="E92" s="65"/>
      <c r="F92" s="65"/>
      <c r="G92" s="65"/>
      <c r="H92" s="65"/>
      <c r="I92" s="65"/>
    </row>
    <row r="93" spans="1:11" ht="19.5" customHeight="1">
      <c r="B93" s="23"/>
      <c r="C93" s="23"/>
      <c r="D93" s="29"/>
      <c r="E93" s="65" t="s">
        <v>125</v>
      </c>
      <c r="F93" s="65"/>
      <c r="G93" s="65"/>
      <c r="H93" s="65"/>
      <c r="I93" s="65"/>
      <c r="J93" s="797"/>
      <c r="K93" s="797"/>
    </row>
    <row r="94" spans="1:11" ht="19.5" customHeight="1">
      <c r="B94" s="23"/>
      <c r="C94" s="23"/>
      <c r="D94" s="29"/>
      <c r="E94" s="65"/>
      <c r="F94" s="65"/>
      <c r="G94" s="65"/>
      <c r="H94" s="65"/>
      <c r="I94" s="65"/>
      <c r="J94" s="58"/>
      <c r="K94" s="58"/>
    </row>
    <row r="95" spans="1:11" ht="19.5" customHeight="1" thickBot="1">
      <c r="B95" s="23"/>
      <c r="C95" s="23"/>
      <c r="D95" s="57" t="s">
        <v>126</v>
      </c>
      <c r="E95" s="798" t="str">
        <f ca="1">J3</f>
        <v>TF-2025-</v>
      </c>
      <c r="F95" s="799"/>
      <c r="G95" s="800"/>
      <c r="H95" s="1"/>
      <c r="I95" s="67"/>
      <c r="J95" s="67"/>
      <c r="K95" s="68"/>
    </row>
    <row r="96" spans="1:11" ht="19.5" customHeight="1" thickBot="1">
      <c r="J96" s="59" t="s">
        <v>127</v>
      </c>
      <c r="K96" s="390">
        <f>K89</f>
        <v>0</v>
      </c>
    </row>
    <row r="97" spans="1:11" ht="13.5" customHeight="1" thickBot="1">
      <c r="A97" s="813" t="s">
        <v>116</v>
      </c>
      <c r="B97" s="814"/>
      <c r="C97" s="815"/>
      <c r="D97" s="822" t="s">
        <v>117</v>
      </c>
      <c r="E97" s="825" t="s">
        <v>118</v>
      </c>
      <c r="F97" s="828" t="s">
        <v>119</v>
      </c>
      <c r="G97" s="829"/>
      <c r="H97" s="810" t="s">
        <v>302</v>
      </c>
      <c r="I97" s="811"/>
      <c r="J97" s="811"/>
      <c r="K97" s="812"/>
    </row>
    <row r="98" spans="1:11" ht="13.5" customHeight="1">
      <c r="A98" s="816"/>
      <c r="B98" s="817"/>
      <c r="C98" s="818"/>
      <c r="D98" s="823"/>
      <c r="E98" s="826"/>
      <c r="F98" s="41" t="s">
        <v>120</v>
      </c>
      <c r="G98" s="41" t="s">
        <v>121</v>
      </c>
      <c r="H98" s="830" t="s">
        <v>73</v>
      </c>
      <c r="I98" s="831"/>
      <c r="J98" s="831"/>
      <c r="K98" s="832"/>
    </row>
    <row r="99" spans="1:11" ht="13.5" customHeight="1" thickBot="1">
      <c r="A99" s="819"/>
      <c r="B99" s="820"/>
      <c r="C99" s="821"/>
      <c r="D99" s="824"/>
      <c r="E99" s="827"/>
      <c r="F99" s="387" t="s">
        <v>122</v>
      </c>
      <c r="G99" s="387" t="s">
        <v>122</v>
      </c>
      <c r="H99" s="833"/>
      <c r="I99" s="834"/>
      <c r="J99" s="834"/>
      <c r="K99" s="835"/>
    </row>
    <row r="100" spans="1:11" ht="19.5" customHeight="1">
      <c r="A100" s="46">
        <v>31</v>
      </c>
      <c r="B100" s="801"/>
      <c r="C100" s="802"/>
      <c r="D100" s="805"/>
      <c r="E100" s="807"/>
      <c r="F100" s="60"/>
      <c r="G100" s="60"/>
      <c r="H100" s="790"/>
      <c r="I100" s="791"/>
      <c r="J100" s="791"/>
      <c r="K100" s="792"/>
    </row>
    <row r="101" spans="1:11" ht="19.5" customHeight="1">
      <c r="A101" s="44"/>
      <c r="B101" s="803"/>
      <c r="C101" s="804"/>
      <c r="D101" s="806"/>
      <c r="E101" s="806"/>
      <c r="F101" s="60"/>
      <c r="G101" s="60"/>
      <c r="H101" s="793"/>
      <c r="I101" s="794"/>
      <c r="J101" s="794"/>
      <c r="K101" s="795"/>
    </row>
    <row r="102" spans="1:11" ht="19.5" customHeight="1">
      <c r="A102" s="46">
        <v>32</v>
      </c>
      <c r="B102" s="801"/>
      <c r="C102" s="802"/>
      <c r="D102" s="805"/>
      <c r="E102" s="807"/>
      <c r="F102" s="60"/>
      <c r="G102" s="60"/>
      <c r="H102" s="793"/>
      <c r="I102" s="794"/>
      <c r="J102" s="794"/>
      <c r="K102" s="795"/>
    </row>
    <row r="103" spans="1:11" ht="19.5" customHeight="1">
      <c r="A103" s="44"/>
      <c r="B103" s="803"/>
      <c r="C103" s="804"/>
      <c r="D103" s="806"/>
      <c r="E103" s="806"/>
      <c r="F103" s="60"/>
      <c r="G103" s="60"/>
      <c r="H103" s="793"/>
      <c r="I103" s="794"/>
      <c r="J103" s="794"/>
      <c r="K103" s="795"/>
    </row>
    <row r="104" spans="1:11" ht="19.5" customHeight="1">
      <c r="A104" s="46">
        <v>33</v>
      </c>
      <c r="B104" s="801"/>
      <c r="C104" s="802"/>
      <c r="D104" s="805"/>
      <c r="E104" s="807"/>
      <c r="F104" s="60"/>
      <c r="G104" s="60"/>
      <c r="H104" s="793"/>
      <c r="I104" s="794"/>
      <c r="J104" s="794"/>
      <c r="K104" s="795"/>
    </row>
    <row r="105" spans="1:11" ht="19.5" customHeight="1">
      <c r="A105" s="44"/>
      <c r="B105" s="803"/>
      <c r="C105" s="804"/>
      <c r="D105" s="806"/>
      <c r="E105" s="806"/>
      <c r="F105" s="60"/>
      <c r="G105" s="60"/>
      <c r="H105" s="793"/>
      <c r="I105" s="794"/>
      <c r="J105" s="794"/>
      <c r="K105" s="795"/>
    </row>
    <row r="106" spans="1:11" ht="19.5" customHeight="1">
      <c r="A106" s="46">
        <v>34</v>
      </c>
      <c r="B106" s="801"/>
      <c r="C106" s="802"/>
      <c r="D106" s="805"/>
      <c r="E106" s="807"/>
      <c r="F106" s="60"/>
      <c r="G106" s="60"/>
      <c r="H106" s="793"/>
      <c r="I106" s="794"/>
      <c r="J106" s="794"/>
      <c r="K106" s="795"/>
    </row>
    <row r="107" spans="1:11" ht="19.5" customHeight="1">
      <c r="A107" s="44"/>
      <c r="B107" s="803"/>
      <c r="C107" s="804"/>
      <c r="D107" s="806"/>
      <c r="E107" s="806"/>
      <c r="F107" s="60"/>
      <c r="G107" s="60"/>
      <c r="H107" s="793"/>
      <c r="I107" s="794"/>
      <c r="J107" s="794"/>
      <c r="K107" s="795"/>
    </row>
    <row r="108" spans="1:11" ht="19.5" customHeight="1">
      <c r="A108" s="46">
        <v>35</v>
      </c>
      <c r="B108" s="801"/>
      <c r="C108" s="802"/>
      <c r="D108" s="805"/>
      <c r="E108" s="807"/>
      <c r="F108" s="60"/>
      <c r="G108" s="60"/>
      <c r="H108" s="793"/>
      <c r="I108" s="794"/>
      <c r="J108" s="794"/>
      <c r="K108" s="795"/>
    </row>
    <row r="109" spans="1:11" ht="19.5" customHeight="1">
      <c r="A109" s="44"/>
      <c r="B109" s="803"/>
      <c r="C109" s="804"/>
      <c r="D109" s="806"/>
      <c r="E109" s="806"/>
      <c r="F109" s="60"/>
      <c r="G109" s="60"/>
      <c r="H109" s="793"/>
      <c r="I109" s="794"/>
      <c r="J109" s="794"/>
      <c r="K109" s="795"/>
    </row>
    <row r="110" spans="1:11" ht="19.5" customHeight="1">
      <c r="A110" s="46">
        <v>36</v>
      </c>
      <c r="B110" s="801"/>
      <c r="C110" s="802"/>
      <c r="D110" s="805"/>
      <c r="E110" s="807"/>
      <c r="F110" s="60"/>
      <c r="G110" s="60"/>
      <c r="H110" s="793"/>
      <c r="I110" s="794"/>
      <c r="J110" s="794"/>
      <c r="K110" s="795"/>
    </row>
    <row r="111" spans="1:11" ht="19.5" customHeight="1">
      <c r="A111" s="44"/>
      <c r="B111" s="803"/>
      <c r="C111" s="804"/>
      <c r="D111" s="806"/>
      <c r="E111" s="806"/>
      <c r="F111" s="60"/>
      <c r="G111" s="60"/>
      <c r="H111" s="793"/>
      <c r="I111" s="794"/>
      <c r="J111" s="794"/>
      <c r="K111" s="795"/>
    </row>
    <row r="112" spans="1:11" ht="19.5" customHeight="1">
      <c r="A112" s="46">
        <v>37</v>
      </c>
      <c r="B112" s="801"/>
      <c r="C112" s="802"/>
      <c r="D112" s="805"/>
      <c r="E112" s="807"/>
      <c r="F112" s="60"/>
      <c r="G112" s="60"/>
      <c r="H112" s="793"/>
      <c r="I112" s="794"/>
      <c r="J112" s="794"/>
      <c r="K112" s="795"/>
    </row>
    <row r="113" spans="1:11" ht="19.5" customHeight="1">
      <c r="A113" s="44"/>
      <c r="B113" s="803"/>
      <c r="C113" s="804"/>
      <c r="D113" s="806"/>
      <c r="E113" s="806"/>
      <c r="F113" s="60"/>
      <c r="G113" s="60"/>
      <c r="H113" s="793"/>
      <c r="I113" s="794"/>
      <c r="J113" s="794"/>
      <c r="K113" s="795"/>
    </row>
    <row r="114" spans="1:11" ht="19.5" customHeight="1">
      <c r="A114" s="46">
        <v>38</v>
      </c>
      <c r="B114" s="801"/>
      <c r="C114" s="802"/>
      <c r="D114" s="805"/>
      <c r="E114" s="807"/>
      <c r="F114" s="60"/>
      <c r="G114" s="60"/>
      <c r="H114" s="793"/>
      <c r="I114" s="794"/>
      <c r="J114" s="794"/>
      <c r="K114" s="795"/>
    </row>
    <row r="115" spans="1:11" ht="19.5" customHeight="1">
      <c r="A115" s="44"/>
      <c r="B115" s="803"/>
      <c r="C115" s="804"/>
      <c r="D115" s="806"/>
      <c r="E115" s="806"/>
      <c r="F115" s="60"/>
      <c r="G115" s="60"/>
      <c r="H115" s="793"/>
      <c r="I115" s="794"/>
      <c r="J115" s="794"/>
      <c r="K115" s="795"/>
    </row>
    <row r="116" spans="1:11" ht="19.5" customHeight="1">
      <c r="A116" s="46">
        <v>39</v>
      </c>
      <c r="B116" s="801"/>
      <c r="C116" s="802"/>
      <c r="D116" s="805"/>
      <c r="E116" s="807"/>
      <c r="F116" s="60"/>
      <c r="G116" s="60"/>
      <c r="H116" s="793"/>
      <c r="I116" s="794"/>
      <c r="J116" s="794"/>
      <c r="K116" s="795"/>
    </row>
    <row r="117" spans="1:11" ht="19.5" customHeight="1">
      <c r="A117" s="44"/>
      <c r="B117" s="803"/>
      <c r="C117" s="804"/>
      <c r="D117" s="806"/>
      <c r="E117" s="806"/>
      <c r="F117" s="60"/>
      <c r="G117" s="60"/>
      <c r="H117" s="793"/>
      <c r="I117" s="794"/>
      <c r="J117" s="794"/>
      <c r="K117" s="795"/>
    </row>
    <row r="118" spans="1:11" ht="19.5" customHeight="1">
      <c r="A118" s="46">
        <v>40</v>
      </c>
      <c r="B118" s="801"/>
      <c r="C118" s="802"/>
      <c r="D118" s="805"/>
      <c r="E118" s="807"/>
      <c r="F118" s="60"/>
      <c r="G118" s="60"/>
      <c r="H118" s="793"/>
      <c r="I118" s="794"/>
      <c r="J118" s="794"/>
      <c r="K118" s="795"/>
    </row>
    <row r="119" spans="1:11" ht="19.5" customHeight="1">
      <c r="A119" s="44"/>
      <c r="B119" s="803"/>
      <c r="C119" s="804"/>
      <c r="D119" s="806"/>
      <c r="E119" s="806"/>
      <c r="F119" s="60"/>
      <c r="G119" s="60"/>
      <c r="H119" s="793"/>
      <c r="I119" s="794"/>
      <c r="J119" s="794"/>
      <c r="K119" s="795"/>
    </row>
    <row r="120" spans="1:11" ht="19.5" customHeight="1" thickBot="1">
      <c r="A120" s="50"/>
      <c r="B120" s="51"/>
      <c r="I120" s="52"/>
      <c r="J120" s="63" t="s">
        <v>123</v>
      </c>
      <c r="K120" s="64">
        <f>SUM(H100:K119)+K96</f>
        <v>0</v>
      </c>
    </row>
    <row r="121" spans="1:11" ht="19.5" customHeight="1">
      <c r="A121" s="50"/>
      <c r="B121" s="51"/>
      <c r="I121" s="52"/>
      <c r="J121" s="10"/>
      <c r="K121" s="66"/>
    </row>
    <row r="122" spans="1:11" ht="19.5" customHeight="1">
      <c r="A122" s="50"/>
      <c r="E122" s="796" t="s">
        <v>124</v>
      </c>
      <c r="F122" s="796"/>
      <c r="G122" s="796"/>
      <c r="H122" s="796"/>
      <c r="I122" s="796"/>
    </row>
    <row r="123" spans="1:11" ht="8.1" customHeight="1">
      <c r="A123" s="50"/>
      <c r="E123" s="65"/>
      <c r="F123" s="65"/>
      <c r="G123" s="65"/>
      <c r="H123" s="65"/>
      <c r="I123" s="65"/>
    </row>
    <row r="124" spans="1:11" ht="19.5" customHeight="1">
      <c r="B124" s="23"/>
      <c r="C124" s="23"/>
      <c r="D124" s="29"/>
      <c r="E124" s="65" t="s">
        <v>125</v>
      </c>
      <c r="F124" s="65"/>
      <c r="G124" s="65"/>
      <c r="H124" s="65"/>
      <c r="I124" s="65"/>
      <c r="J124" s="797"/>
      <c r="K124" s="797"/>
    </row>
    <row r="125" spans="1:11" ht="19.5" customHeight="1">
      <c r="B125" s="23"/>
      <c r="C125" s="23"/>
      <c r="D125" s="29"/>
      <c r="E125" s="29"/>
      <c r="F125" s="29"/>
      <c r="H125" s="1"/>
      <c r="I125" s="67"/>
      <c r="J125" s="67"/>
      <c r="K125" s="69"/>
    </row>
    <row r="126" spans="1:11" ht="19.5" customHeight="1">
      <c r="B126" s="23"/>
      <c r="C126" s="23"/>
      <c r="D126" s="57" t="s">
        <v>126</v>
      </c>
      <c r="E126" s="798" t="str">
        <f ca="1">J3</f>
        <v>TF-2025-</v>
      </c>
      <c r="F126" s="799"/>
      <c r="G126" s="800"/>
    </row>
  </sheetData>
  <sheetProtection algorithmName="SHA-512" hashValue="eaZdGw4YcZriThxiJO2KHRK2PiqnyFLZdDwHBfmbKEaROy3xnejaThpbPurGErg5m6ilo668McTqJvcGUVgeyQ==" saltValue="sUUpb4zlJ7EKIbd89pDo2Q==" spinCount="100000" sheet="1" selectLockedCells="1"/>
  <mergeCells count="211">
    <mergeCell ref="H1:I1"/>
    <mergeCell ref="J1:K1"/>
    <mergeCell ref="H2:I2"/>
    <mergeCell ref="J2:K2"/>
    <mergeCell ref="H3:I3"/>
    <mergeCell ref="J3:K3"/>
    <mergeCell ref="H7:K7"/>
    <mergeCell ref="H8:K8"/>
    <mergeCell ref="H9:K9"/>
    <mergeCell ref="I5:J5"/>
    <mergeCell ref="B12:C13"/>
    <mergeCell ref="D12:D13"/>
    <mergeCell ref="E12:E13"/>
    <mergeCell ref="B10:C11"/>
    <mergeCell ref="D10:D11"/>
    <mergeCell ref="E10:E11"/>
    <mergeCell ref="H10:K11"/>
    <mergeCell ref="H12:K13"/>
    <mergeCell ref="A4:B4"/>
    <mergeCell ref="E4:G4"/>
    <mergeCell ref="E5:G5"/>
    <mergeCell ref="A7:C9"/>
    <mergeCell ref="D7:D9"/>
    <mergeCell ref="E7:E9"/>
    <mergeCell ref="F7:G7"/>
    <mergeCell ref="B18:C19"/>
    <mergeCell ref="D18:D19"/>
    <mergeCell ref="E18:E19"/>
    <mergeCell ref="H18:K19"/>
    <mergeCell ref="H20:K21"/>
    <mergeCell ref="B16:C17"/>
    <mergeCell ref="D16:D17"/>
    <mergeCell ref="E16:E17"/>
    <mergeCell ref="B14:C15"/>
    <mergeCell ref="D14:D15"/>
    <mergeCell ref="E14:E15"/>
    <mergeCell ref="H14:K15"/>
    <mergeCell ref="H16:K17"/>
    <mergeCell ref="B24:C25"/>
    <mergeCell ref="D24:D25"/>
    <mergeCell ref="E24:E25"/>
    <mergeCell ref="B22:C23"/>
    <mergeCell ref="D22:D23"/>
    <mergeCell ref="E22:E23"/>
    <mergeCell ref="H22:K23"/>
    <mergeCell ref="H24:K25"/>
    <mergeCell ref="B20:C21"/>
    <mergeCell ref="D20:D21"/>
    <mergeCell ref="E20:E21"/>
    <mergeCell ref="E29:I29"/>
    <mergeCell ref="E31:I31"/>
    <mergeCell ref="J31:K31"/>
    <mergeCell ref="E32:G32"/>
    <mergeCell ref="A34:C36"/>
    <mergeCell ref="D34:D36"/>
    <mergeCell ref="E34:E36"/>
    <mergeCell ref="B26:C27"/>
    <mergeCell ref="D26:D27"/>
    <mergeCell ref="E26:E27"/>
    <mergeCell ref="H26:K27"/>
    <mergeCell ref="H34:K34"/>
    <mergeCell ref="H35:K35"/>
    <mergeCell ref="H36:K36"/>
    <mergeCell ref="F34:G34"/>
    <mergeCell ref="B41:C42"/>
    <mergeCell ref="D41:D42"/>
    <mergeCell ref="E41:E42"/>
    <mergeCell ref="H41:K42"/>
    <mergeCell ref="H43:K44"/>
    <mergeCell ref="B39:C40"/>
    <mergeCell ref="D39:D40"/>
    <mergeCell ref="E39:E40"/>
    <mergeCell ref="B37:C38"/>
    <mergeCell ref="D37:D38"/>
    <mergeCell ref="E37:E38"/>
    <mergeCell ref="H37:K38"/>
    <mergeCell ref="H39:K40"/>
    <mergeCell ref="B47:C48"/>
    <mergeCell ref="D47:D48"/>
    <mergeCell ref="E47:E48"/>
    <mergeCell ref="B45:C46"/>
    <mergeCell ref="D45:D46"/>
    <mergeCell ref="E45:E46"/>
    <mergeCell ref="H45:K46"/>
    <mergeCell ref="H47:K48"/>
    <mergeCell ref="B43:C44"/>
    <mergeCell ref="D43:D44"/>
    <mergeCell ref="E43:E44"/>
    <mergeCell ref="B53:C54"/>
    <mergeCell ref="D53:D54"/>
    <mergeCell ref="E53:E54"/>
    <mergeCell ref="H53:K54"/>
    <mergeCell ref="H55:K56"/>
    <mergeCell ref="B51:C52"/>
    <mergeCell ref="D51:D52"/>
    <mergeCell ref="E51:E52"/>
    <mergeCell ref="B49:C50"/>
    <mergeCell ref="D49:D50"/>
    <mergeCell ref="E49:E50"/>
    <mergeCell ref="H49:K50"/>
    <mergeCell ref="H51:K52"/>
    <mergeCell ref="B57:C58"/>
    <mergeCell ref="D57:D58"/>
    <mergeCell ref="E57:E58"/>
    <mergeCell ref="H57:K58"/>
    <mergeCell ref="F66:G66"/>
    <mergeCell ref="H66:K66"/>
    <mergeCell ref="H67:K67"/>
    <mergeCell ref="H68:K68"/>
    <mergeCell ref="B55:C56"/>
    <mergeCell ref="D55:D56"/>
    <mergeCell ref="E55:E56"/>
    <mergeCell ref="B69:C70"/>
    <mergeCell ref="D69:D70"/>
    <mergeCell ref="E69:E70"/>
    <mergeCell ref="H69:K70"/>
    <mergeCell ref="H71:K72"/>
    <mergeCell ref="E60:I60"/>
    <mergeCell ref="J62:K62"/>
    <mergeCell ref="E64:G64"/>
    <mergeCell ref="A66:C68"/>
    <mergeCell ref="D66:D68"/>
    <mergeCell ref="E66:E68"/>
    <mergeCell ref="B75:C76"/>
    <mergeCell ref="D75:D76"/>
    <mergeCell ref="E75:E76"/>
    <mergeCell ref="B73:C74"/>
    <mergeCell ref="D73:D74"/>
    <mergeCell ref="E73:E74"/>
    <mergeCell ref="H73:K74"/>
    <mergeCell ref="H75:K76"/>
    <mergeCell ref="B71:C72"/>
    <mergeCell ref="D71:D72"/>
    <mergeCell ref="E71:E72"/>
    <mergeCell ref="B81:C82"/>
    <mergeCell ref="D81:D82"/>
    <mergeCell ref="E81:E82"/>
    <mergeCell ref="H81:K82"/>
    <mergeCell ref="H83:K84"/>
    <mergeCell ref="B79:C80"/>
    <mergeCell ref="D79:D80"/>
    <mergeCell ref="E79:E80"/>
    <mergeCell ref="B77:C78"/>
    <mergeCell ref="D77:D78"/>
    <mergeCell ref="E77:E78"/>
    <mergeCell ref="H77:K78"/>
    <mergeCell ref="H79:K80"/>
    <mergeCell ref="H97:K97"/>
    <mergeCell ref="H85:K86"/>
    <mergeCell ref="H87:K88"/>
    <mergeCell ref="B83:C84"/>
    <mergeCell ref="D83:D84"/>
    <mergeCell ref="E83:E84"/>
    <mergeCell ref="E91:I91"/>
    <mergeCell ref="J93:K93"/>
    <mergeCell ref="E95:G95"/>
    <mergeCell ref="A97:C99"/>
    <mergeCell ref="D97:D99"/>
    <mergeCell ref="E97:E99"/>
    <mergeCell ref="B87:C88"/>
    <mergeCell ref="D87:D88"/>
    <mergeCell ref="E87:E88"/>
    <mergeCell ref="F97:G97"/>
    <mergeCell ref="H98:K98"/>
    <mergeCell ref="H99:K99"/>
    <mergeCell ref="B102:C103"/>
    <mergeCell ref="D102:D103"/>
    <mergeCell ref="E102:E103"/>
    <mergeCell ref="B100:C101"/>
    <mergeCell ref="D100:D101"/>
    <mergeCell ref="E100:E101"/>
    <mergeCell ref="B85:C86"/>
    <mergeCell ref="D85:D86"/>
    <mergeCell ref="E85:E86"/>
    <mergeCell ref="B108:C109"/>
    <mergeCell ref="D108:D109"/>
    <mergeCell ref="E108:E109"/>
    <mergeCell ref="B106:C107"/>
    <mergeCell ref="D106:D107"/>
    <mergeCell ref="E106:E107"/>
    <mergeCell ref="B104:C105"/>
    <mergeCell ref="D104:D105"/>
    <mergeCell ref="E104:E105"/>
    <mergeCell ref="B114:C115"/>
    <mergeCell ref="D114:D115"/>
    <mergeCell ref="E114:E115"/>
    <mergeCell ref="B112:C113"/>
    <mergeCell ref="D112:D113"/>
    <mergeCell ref="E112:E113"/>
    <mergeCell ref="H114:K115"/>
    <mergeCell ref="B110:C111"/>
    <mergeCell ref="D110:D111"/>
    <mergeCell ref="E110:E111"/>
    <mergeCell ref="E126:G126"/>
    <mergeCell ref="B118:C119"/>
    <mergeCell ref="D118:D119"/>
    <mergeCell ref="E118:E119"/>
    <mergeCell ref="B116:C117"/>
    <mergeCell ref="D116:D117"/>
    <mergeCell ref="E116:E117"/>
    <mergeCell ref="H116:K117"/>
    <mergeCell ref="H118:K119"/>
    <mergeCell ref="H100:K101"/>
    <mergeCell ref="H102:K103"/>
    <mergeCell ref="H104:K105"/>
    <mergeCell ref="H106:K107"/>
    <mergeCell ref="H108:K109"/>
    <mergeCell ref="H110:K111"/>
    <mergeCell ref="H112:K113"/>
    <mergeCell ref="E122:I122"/>
    <mergeCell ref="J124:K124"/>
  </mergeCells>
  <dataValidations count="2">
    <dataValidation type="list" allowBlank="1" showInputMessage="1" showErrorMessage="1" promptTitle="Sportfachverband auswählen" prompt="DropDown Menü" sqref="J1" xr:uid="{00000000-0002-0000-0700-000000000000}">
      <formula1>Sportfachverband</formula1>
    </dataValidation>
    <dataValidation type="list" allowBlank="1" showInputMessage="1" showErrorMessage="1" sqref="E10:E27 E37:E58 E69:E88 E100:E119" xr:uid="{00000000-0002-0000-0700-000001000000}">
      <formula1>"LK, TK, BK"</formula1>
    </dataValidation>
  </dataValidations>
  <printOptions gridLinesSet="0"/>
  <pageMargins left="0.78740157480314965" right="0" top="0.23622047244094491" bottom="0" header="0.19685039370078741" footer="0.19685039370078741"/>
  <pageSetup paperSize="9" fitToWidth="0" orientation="landscape" r:id="rId1"/>
  <headerFooter differentFirst="1">
    <oddFooter>&amp;LSeite &amp;P von &amp;N</oddFooter>
  </headerFooter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tabColor rgb="FF00B050"/>
  </sheetPr>
  <dimension ref="A1:M64"/>
  <sheetViews>
    <sheetView showGridLines="0" view="pageLayout" topLeftCell="A22" zoomScaleNormal="100" workbookViewId="0">
      <selection activeCell="G45" sqref="G45"/>
    </sheetView>
  </sheetViews>
  <sheetFormatPr baseColWidth="10" defaultColWidth="11.28515625" defaultRowHeight="12.75"/>
  <cols>
    <col min="1" max="1" width="2.7109375" customWidth="1"/>
    <col min="2" max="2" width="13.5703125" customWidth="1"/>
    <col min="3" max="3" width="21.5703125" customWidth="1"/>
    <col min="4" max="4" width="16.5703125" customWidth="1"/>
    <col min="5" max="5" width="9.140625" customWidth="1"/>
    <col min="6" max="7" width="15.28515625" customWidth="1"/>
    <col min="8" max="8" width="10.28515625" customWidth="1"/>
    <col min="9" max="9" width="7.85546875" customWidth="1"/>
    <col min="10" max="10" width="11.28515625" customWidth="1"/>
    <col min="11" max="11" width="15.7109375" customWidth="1"/>
  </cols>
  <sheetData>
    <row r="1" spans="1:11" ht="27.95" customHeight="1">
      <c r="C1" s="23"/>
      <c r="D1" s="24" t="s">
        <v>107</v>
      </c>
      <c r="E1" s="24"/>
      <c r="F1" s="25"/>
      <c r="H1" s="862" t="s">
        <v>108</v>
      </c>
      <c r="I1" s="863"/>
      <c r="J1" s="890" t="s">
        <v>109</v>
      </c>
      <c r="K1" s="891"/>
    </row>
    <row r="2" spans="1:11" s="26" customFormat="1" ht="22.35" customHeight="1">
      <c r="C2" s="23"/>
      <c r="D2" s="27" t="s">
        <v>323</v>
      </c>
      <c r="E2" s="28"/>
      <c r="F2" s="28"/>
      <c r="G2" s="28"/>
      <c r="H2" s="862" t="s">
        <v>110</v>
      </c>
      <c r="I2" s="863"/>
      <c r="J2" s="798">
        <f>'TF Lehrgang Teilnehmende'!J2</f>
        <v>0</v>
      </c>
      <c r="K2" s="800"/>
    </row>
    <row r="3" spans="1:11" ht="22.35" customHeight="1">
      <c r="D3" s="29"/>
      <c r="E3" s="1"/>
      <c r="H3" s="862" t="s">
        <v>111</v>
      </c>
      <c r="I3" s="863"/>
      <c r="J3" s="798" t="str">
        <f ca="1">'TF Lehrgang Teilnehmende'!J3</f>
        <v>TF-2025-</v>
      </c>
      <c r="K3" s="800"/>
    </row>
    <row r="4" spans="1:11" s="35" customFormat="1">
      <c r="A4" s="859" t="s">
        <v>112</v>
      </c>
      <c r="B4" s="859"/>
      <c r="C4" s="30">
        <f>'TF Lehrgang Teilnehmende'!C4</f>
        <v>0</v>
      </c>
      <c r="D4" s="31" t="s">
        <v>113</v>
      </c>
      <c r="E4" s="892">
        <f>'TF Lehrgang Teilnehmende'!E4</f>
        <v>0</v>
      </c>
      <c r="F4" s="892"/>
      <c r="G4" s="892"/>
      <c r="H4" s="32"/>
      <c r="I4" s="33"/>
      <c r="J4" s="33"/>
      <c r="K4" s="34"/>
    </row>
    <row r="5" spans="1:11" s="36" customFormat="1" ht="17.100000000000001" customHeight="1">
      <c r="C5" s="70" t="s">
        <v>114</v>
      </c>
      <c r="D5" s="38"/>
      <c r="F5" s="38" t="s">
        <v>115</v>
      </c>
      <c r="G5" s="38"/>
      <c r="I5" s="868" t="s">
        <v>319</v>
      </c>
      <c r="J5" s="869"/>
      <c r="K5" s="39"/>
    </row>
    <row r="6" spans="1:11" ht="5.85" customHeight="1" thickBot="1">
      <c r="A6" s="40"/>
      <c r="B6" s="40"/>
    </row>
    <row r="7" spans="1:11" ht="13.5" customHeight="1" thickBot="1">
      <c r="A7" s="813" t="s">
        <v>128</v>
      </c>
      <c r="B7" s="814"/>
      <c r="C7" s="815"/>
      <c r="D7" s="884"/>
      <c r="E7" s="885"/>
      <c r="F7" s="828" t="s">
        <v>119</v>
      </c>
      <c r="G7" s="829"/>
      <c r="H7" s="810"/>
      <c r="I7" s="811"/>
      <c r="J7" s="811"/>
      <c r="K7" s="812"/>
    </row>
    <row r="8" spans="1:11" ht="13.5" customHeight="1">
      <c r="A8" s="816"/>
      <c r="B8" s="817"/>
      <c r="C8" s="818"/>
      <c r="D8" s="886" t="s">
        <v>270</v>
      </c>
      <c r="E8" s="887"/>
      <c r="F8" s="41" t="s">
        <v>120</v>
      </c>
      <c r="G8" s="41" t="s">
        <v>121</v>
      </c>
      <c r="H8" s="830"/>
      <c r="I8" s="831"/>
      <c r="J8" s="831"/>
      <c r="K8" s="832"/>
    </row>
    <row r="9" spans="1:11" ht="13.5" customHeight="1" thickBot="1">
      <c r="A9" s="819"/>
      <c r="B9" s="820"/>
      <c r="C9" s="821"/>
      <c r="D9" s="888"/>
      <c r="E9" s="889"/>
      <c r="F9" s="387" t="s">
        <v>122</v>
      </c>
      <c r="G9" s="387" t="s">
        <v>122</v>
      </c>
      <c r="H9" s="833"/>
      <c r="I9" s="834"/>
      <c r="J9" s="834"/>
      <c r="K9" s="835"/>
    </row>
    <row r="10" spans="1:11" ht="20.100000000000001" customHeight="1">
      <c r="A10" s="42" t="s">
        <v>129</v>
      </c>
      <c r="B10" s="836"/>
      <c r="C10" s="837"/>
      <c r="D10" s="882"/>
      <c r="E10" s="883"/>
      <c r="F10" s="71"/>
      <c r="G10" s="71"/>
      <c r="H10" s="850"/>
      <c r="I10" s="851"/>
      <c r="J10" s="851"/>
      <c r="K10" s="852"/>
    </row>
    <row r="11" spans="1:11" ht="20.100000000000001" customHeight="1">
      <c r="A11" s="44"/>
      <c r="B11" s="803"/>
      <c r="C11" s="804"/>
      <c r="D11" s="872"/>
      <c r="E11" s="873"/>
      <c r="F11" s="60"/>
      <c r="G11" s="60"/>
      <c r="H11" s="853"/>
      <c r="I11" s="854"/>
      <c r="J11" s="854"/>
      <c r="K11" s="855"/>
    </row>
    <row r="12" spans="1:11" ht="20.100000000000001" customHeight="1">
      <c r="A12" s="46" t="s">
        <v>130</v>
      </c>
      <c r="B12" s="808"/>
      <c r="C12" s="809"/>
      <c r="D12" s="870"/>
      <c r="E12" s="871"/>
      <c r="F12" s="60"/>
      <c r="G12" s="60"/>
      <c r="H12" s="856"/>
      <c r="I12" s="857"/>
      <c r="J12" s="857"/>
      <c r="K12" s="858"/>
    </row>
    <row r="13" spans="1:11" ht="20.100000000000001" customHeight="1">
      <c r="A13" s="44"/>
      <c r="B13" s="803"/>
      <c r="C13" s="804"/>
      <c r="D13" s="872"/>
      <c r="E13" s="873"/>
      <c r="F13" s="60"/>
      <c r="G13" s="60"/>
      <c r="H13" s="853"/>
      <c r="I13" s="854"/>
      <c r="J13" s="854"/>
      <c r="K13" s="855"/>
    </row>
    <row r="14" spans="1:11" ht="20.100000000000001" customHeight="1">
      <c r="A14" s="46" t="s">
        <v>131</v>
      </c>
      <c r="B14" s="808"/>
      <c r="C14" s="809"/>
      <c r="D14" s="870"/>
      <c r="E14" s="871"/>
      <c r="F14" s="60"/>
      <c r="G14" s="60"/>
      <c r="H14" s="793"/>
      <c r="I14" s="794"/>
      <c r="J14" s="794"/>
      <c r="K14" s="795"/>
    </row>
    <row r="15" spans="1:11" ht="20.100000000000001" customHeight="1">
      <c r="A15" s="44"/>
      <c r="B15" s="803"/>
      <c r="C15" s="804"/>
      <c r="D15" s="872"/>
      <c r="E15" s="873"/>
      <c r="F15" s="60"/>
      <c r="G15" s="60"/>
      <c r="H15" s="793"/>
      <c r="I15" s="794"/>
      <c r="J15" s="794"/>
      <c r="K15" s="795"/>
    </row>
    <row r="16" spans="1:11" ht="20.100000000000001" customHeight="1">
      <c r="A16" s="46" t="s">
        <v>132</v>
      </c>
      <c r="B16" s="808"/>
      <c r="C16" s="809"/>
      <c r="D16" s="870"/>
      <c r="E16" s="871"/>
      <c r="F16" s="60"/>
      <c r="G16" s="60"/>
      <c r="H16" s="793"/>
      <c r="I16" s="794"/>
      <c r="J16" s="794"/>
      <c r="K16" s="795"/>
    </row>
    <row r="17" spans="1:13" ht="20.100000000000001" customHeight="1">
      <c r="A17" s="44"/>
      <c r="B17" s="803"/>
      <c r="C17" s="804"/>
      <c r="D17" s="872"/>
      <c r="E17" s="873"/>
      <c r="F17" s="60"/>
      <c r="G17" s="60"/>
      <c r="H17" s="793"/>
      <c r="I17" s="794"/>
      <c r="J17" s="794"/>
      <c r="K17" s="795"/>
    </row>
    <row r="18" spans="1:13" ht="20.100000000000001" customHeight="1">
      <c r="A18" s="46" t="s">
        <v>133</v>
      </c>
      <c r="B18" s="808"/>
      <c r="C18" s="809"/>
      <c r="D18" s="870"/>
      <c r="E18" s="871"/>
      <c r="F18" s="60"/>
      <c r="G18" s="60"/>
      <c r="H18" s="793"/>
      <c r="I18" s="794"/>
      <c r="J18" s="794"/>
      <c r="K18" s="795"/>
    </row>
    <row r="19" spans="1:13" ht="20.100000000000001" customHeight="1">
      <c r="A19" s="44"/>
      <c r="B19" s="803"/>
      <c r="C19" s="804"/>
      <c r="D19" s="872"/>
      <c r="E19" s="873"/>
      <c r="F19" s="60"/>
      <c r="G19" s="60"/>
      <c r="H19" s="793"/>
      <c r="I19" s="794"/>
      <c r="J19" s="794"/>
      <c r="K19" s="795"/>
    </row>
    <row r="20" spans="1:13" ht="20.100000000000001" customHeight="1">
      <c r="A20" s="46" t="s">
        <v>134</v>
      </c>
      <c r="B20" s="808"/>
      <c r="C20" s="809"/>
      <c r="D20" s="870"/>
      <c r="E20" s="871"/>
      <c r="F20" s="60"/>
      <c r="G20" s="60"/>
      <c r="H20" s="793"/>
      <c r="I20" s="794"/>
      <c r="J20" s="794"/>
      <c r="K20" s="795"/>
    </row>
    <row r="21" spans="1:13" ht="20.100000000000001" customHeight="1">
      <c r="A21" s="44"/>
      <c r="B21" s="803"/>
      <c r="C21" s="804"/>
      <c r="D21" s="872"/>
      <c r="E21" s="873"/>
      <c r="F21" s="60"/>
      <c r="G21" s="60"/>
      <c r="H21" s="793"/>
      <c r="I21" s="794"/>
      <c r="J21" s="794"/>
      <c r="K21" s="795"/>
    </row>
    <row r="22" spans="1:13" ht="20.100000000000001" customHeight="1">
      <c r="A22" s="46" t="s">
        <v>135</v>
      </c>
      <c r="B22" s="808"/>
      <c r="C22" s="809"/>
      <c r="D22" s="870"/>
      <c r="E22" s="871"/>
      <c r="F22" s="60"/>
      <c r="G22" s="60"/>
      <c r="H22" s="793"/>
      <c r="I22" s="794"/>
      <c r="J22" s="794"/>
      <c r="K22" s="795"/>
    </row>
    <row r="23" spans="1:13" ht="20.100000000000001" customHeight="1">
      <c r="A23" s="44"/>
      <c r="B23" s="803"/>
      <c r="C23" s="804"/>
      <c r="D23" s="872"/>
      <c r="E23" s="873"/>
      <c r="F23" s="60"/>
      <c r="G23" s="60"/>
      <c r="H23" s="793"/>
      <c r="I23" s="794"/>
      <c r="J23" s="794"/>
      <c r="K23" s="795"/>
    </row>
    <row r="24" spans="1:13" ht="20.100000000000001" customHeight="1">
      <c r="A24" s="46" t="s">
        <v>136</v>
      </c>
      <c r="B24" s="808"/>
      <c r="C24" s="809"/>
      <c r="D24" s="870"/>
      <c r="E24" s="871"/>
      <c r="F24" s="60"/>
      <c r="G24" s="60"/>
      <c r="H24" s="793"/>
      <c r="I24" s="794"/>
      <c r="J24" s="794"/>
      <c r="K24" s="795"/>
    </row>
    <row r="25" spans="1:13" ht="20.100000000000001" customHeight="1">
      <c r="A25" s="44"/>
      <c r="B25" s="803"/>
      <c r="C25" s="804"/>
      <c r="D25" s="872"/>
      <c r="E25" s="873"/>
      <c r="F25" s="60"/>
      <c r="G25" s="60"/>
      <c r="H25" s="793"/>
      <c r="I25" s="794"/>
      <c r="J25" s="794"/>
      <c r="K25" s="795"/>
    </row>
    <row r="26" spans="1:13" ht="19.5" customHeight="1">
      <c r="A26" s="46" t="s">
        <v>137</v>
      </c>
      <c r="B26" s="808"/>
      <c r="C26" s="809"/>
      <c r="D26" s="870"/>
      <c r="E26" s="871"/>
      <c r="F26" s="60"/>
      <c r="G26" s="60"/>
      <c r="H26" s="793"/>
      <c r="I26" s="794"/>
      <c r="J26" s="794"/>
      <c r="K26" s="795"/>
    </row>
    <row r="27" spans="1:13" ht="20.100000000000001" customHeight="1" thickBot="1">
      <c r="A27" s="48"/>
      <c r="B27" s="843"/>
      <c r="C27" s="844"/>
      <c r="D27" s="874"/>
      <c r="E27" s="875"/>
      <c r="F27" s="62"/>
      <c r="G27" s="62"/>
      <c r="H27" s="876"/>
      <c r="I27" s="877"/>
      <c r="J27" s="877"/>
      <c r="K27" s="878"/>
    </row>
    <row r="28" spans="1:13" ht="19.5" customHeight="1">
      <c r="A28" s="50"/>
      <c r="B28" s="51"/>
      <c r="I28" s="52"/>
      <c r="J28" s="10"/>
      <c r="K28" s="391"/>
    </row>
    <row r="29" spans="1:13" ht="19.5" customHeight="1">
      <c r="A29" s="50"/>
      <c r="E29" s="796" t="s">
        <v>124</v>
      </c>
      <c r="F29" s="796"/>
      <c r="G29" s="796"/>
      <c r="H29" s="796"/>
      <c r="I29" s="796"/>
    </row>
    <row r="30" spans="1:13" s="54" customFormat="1" ht="8.4499999999999993" customHeight="1">
      <c r="C30" s="55"/>
      <c r="D30" s="56"/>
    </row>
    <row r="31" spans="1:13" ht="19.5" customHeight="1">
      <c r="B31" s="23"/>
      <c r="C31" s="23"/>
      <c r="D31" s="29"/>
      <c r="E31" s="65" t="s">
        <v>125</v>
      </c>
      <c r="F31" s="65"/>
      <c r="G31" s="65"/>
      <c r="H31" s="65"/>
      <c r="I31" s="386"/>
      <c r="J31" s="797"/>
      <c r="K31" s="797"/>
      <c r="L31" s="72"/>
      <c r="M31" s="72"/>
    </row>
    <row r="32" spans="1:13" ht="19.5" customHeight="1">
      <c r="B32" s="23"/>
      <c r="C32" s="23"/>
      <c r="D32" s="29"/>
      <c r="E32" s="65"/>
      <c r="F32" s="65"/>
      <c r="G32" s="65"/>
      <c r="H32" s="65"/>
      <c r="I32" s="65"/>
      <c r="J32" s="58"/>
      <c r="K32" s="58"/>
      <c r="L32" s="72"/>
      <c r="M32" s="72"/>
    </row>
    <row r="33" spans="1:11" ht="19.5" customHeight="1">
      <c r="D33" s="57" t="s">
        <v>126</v>
      </c>
      <c r="E33" s="879" t="str">
        <f ca="1">J3</f>
        <v>TF-2025-</v>
      </c>
      <c r="F33" s="880"/>
      <c r="G33" s="881"/>
      <c r="H33" s="58"/>
      <c r="I33" s="58"/>
      <c r="J33" s="58"/>
      <c r="K33" s="58"/>
    </row>
    <row r="34" spans="1:11" ht="19.5" customHeight="1" thickBot="1">
      <c r="D34" s="57"/>
      <c r="E34" s="65"/>
      <c r="F34" s="65"/>
      <c r="G34" s="65"/>
      <c r="J34" s="392"/>
      <c r="K34" s="393"/>
    </row>
    <row r="35" spans="1:11" ht="13.5" customHeight="1" thickBot="1">
      <c r="A35" s="813" t="s">
        <v>128</v>
      </c>
      <c r="B35" s="814"/>
      <c r="C35" s="815"/>
      <c r="D35" s="884" t="s">
        <v>270</v>
      </c>
      <c r="E35" s="885"/>
      <c r="F35" s="828" t="s">
        <v>119</v>
      </c>
      <c r="G35" s="829"/>
      <c r="H35" s="810"/>
      <c r="I35" s="811"/>
      <c r="J35" s="811"/>
      <c r="K35" s="812"/>
    </row>
    <row r="36" spans="1:11" ht="13.5" customHeight="1">
      <c r="A36" s="816"/>
      <c r="B36" s="817"/>
      <c r="C36" s="818"/>
      <c r="D36" s="886"/>
      <c r="E36" s="887"/>
      <c r="F36" s="41" t="s">
        <v>120</v>
      </c>
      <c r="G36" s="41" t="s">
        <v>121</v>
      </c>
      <c r="H36" s="846"/>
      <c r="I36" s="847"/>
      <c r="J36" s="847"/>
      <c r="K36" s="848"/>
    </row>
    <row r="37" spans="1:11" ht="13.5" customHeight="1" thickBot="1">
      <c r="A37" s="819"/>
      <c r="B37" s="820"/>
      <c r="C37" s="821"/>
      <c r="D37" s="888"/>
      <c r="E37" s="889"/>
      <c r="F37" s="387" t="s">
        <v>122</v>
      </c>
      <c r="G37" s="387" t="s">
        <v>122</v>
      </c>
      <c r="H37" s="833"/>
      <c r="I37" s="834"/>
      <c r="J37" s="834"/>
      <c r="K37" s="835"/>
    </row>
    <row r="38" spans="1:11" ht="19.5" customHeight="1">
      <c r="A38" s="42" t="s">
        <v>138</v>
      </c>
      <c r="B38" s="836"/>
      <c r="C38" s="837"/>
      <c r="D38" s="882"/>
      <c r="E38" s="883"/>
      <c r="F38" s="71"/>
      <c r="G38" s="71"/>
      <c r="H38" s="790"/>
      <c r="I38" s="791"/>
      <c r="J38" s="791"/>
      <c r="K38" s="792"/>
    </row>
    <row r="39" spans="1:11" ht="19.5" customHeight="1">
      <c r="A39" s="44"/>
      <c r="B39" s="803"/>
      <c r="C39" s="804"/>
      <c r="D39" s="872"/>
      <c r="E39" s="873"/>
      <c r="F39" s="60"/>
      <c r="G39" s="60"/>
      <c r="H39" s="793"/>
      <c r="I39" s="794"/>
      <c r="J39" s="794"/>
      <c r="K39" s="795"/>
    </row>
    <row r="40" spans="1:11" ht="19.5" customHeight="1">
      <c r="A40" s="46" t="s">
        <v>139</v>
      </c>
      <c r="B40" s="808"/>
      <c r="C40" s="809"/>
      <c r="D40" s="870"/>
      <c r="E40" s="871"/>
      <c r="F40" s="60"/>
      <c r="G40" s="60"/>
      <c r="H40" s="793"/>
      <c r="I40" s="794"/>
      <c r="J40" s="794"/>
      <c r="K40" s="795"/>
    </row>
    <row r="41" spans="1:11" ht="19.5" customHeight="1">
      <c r="A41" s="44"/>
      <c r="B41" s="803"/>
      <c r="C41" s="804"/>
      <c r="D41" s="872"/>
      <c r="E41" s="873"/>
      <c r="F41" s="60"/>
      <c r="G41" s="60"/>
      <c r="H41" s="793"/>
      <c r="I41" s="794"/>
      <c r="J41" s="794"/>
      <c r="K41" s="795"/>
    </row>
    <row r="42" spans="1:11" ht="19.5" customHeight="1">
      <c r="A42" s="46" t="s">
        <v>140</v>
      </c>
      <c r="B42" s="808"/>
      <c r="C42" s="809"/>
      <c r="D42" s="870"/>
      <c r="E42" s="871"/>
      <c r="F42" s="60"/>
      <c r="G42" s="60"/>
      <c r="H42" s="793"/>
      <c r="I42" s="794"/>
      <c r="J42" s="794"/>
      <c r="K42" s="795"/>
    </row>
    <row r="43" spans="1:11" ht="19.5" customHeight="1">
      <c r="A43" s="44"/>
      <c r="B43" s="803"/>
      <c r="C43" s="804"/>
      <c r="D43" s="872"/>
      <c r="E43" s="873"/>
      <c r="F43" s="60"/>
      <c r="G43" s="60"/>
      <c r="H43" s="793"/>
      <c r="I43" s="794"/>
      <c r="J43" s="794"/>
      <c r="K43" s="795"/>
    </row>
    <row r="44" spans="1:11" ht="19.5" customHeight="1">
      <c r="A44" s="46" t="s">
        <v>141</v>
      </c>
      <c r="B44" s="808"/>
      <c r="C44" s="809"/>
      <c r="D44" s="870"/>
      <c r="E44" s="871"/>
      <c r="F44" s="60"/>
      <c r="G44" s="60"/>
      <c r="H44" s="793"/>
      <c r="I44" s="794"/>
      <c r="J44" s="794"/>
      <c r="K44" s="795"/>
    </row>
    <row r="45" spans="1:11" ht="19.5" customHeight="1">
      <c r="A45" s="44"/>
      <c r="B45" s="803"/>
      <c r="C45" s="804"/>
      <c r="D45" s="872"/>
      <c r="E45" s="873"/>
      <c r="F45" s="60"/>
      <c r="G45" s="60"/>
      <c r="H45" s="793"/>
      <c r="I45" s="794"/>
      <c r="J45" s="794"/>
      <c r="K45" s="795"/>
    </row>
    <row r="46" spans="1:11" ht="19.5" customHeight="1">
      <c r="A46" s="46" t="s">
        <v>142</v>
      </c>
      <c r="B46" s="808"/>
      <c r="C46" s="809"/>
      <c r="D46" s="870"/>
      <c r="E46" s="871"/>
      <c r="F46" s="60"/>
      <c r="G46" s="60"/>
      <c r="H46" s="793"/>
      <c r="I46" s="794"/>
      <c r="J46" s="794"/>
      <c r="K46" s="795"/>
    </row>
    <row r="47" spans="1:11" ht="19.5" customHeight="1">
      <c r="A47" s="44"/>
      <c r="B47" s="803"/>
      <c r="C47" s="804"/>
      <c r="D47" s="872"/>
      <c r="E47" s="873"/>
      <c r="F47" s="60"/>
      <c r="G47" s="60"/>
      <c r="H47" s="793"/>
      <c r="I47" s="794"/>
      <c r="J47" s="794"/>
      <c r="K47" s="795"/>
    </row>
    <row r="48" spans="1:11" ht="19.5" customHeight="1">
      <c r="A48" s="46" t="s">
        <v>143</v>
      </c>
      <c r="B48" s="808"/>
      <c r="C48" s="809"/>
      <c r="D48" s="870"/>
      <c r="E48" s="871"/>
      <c r="F48" s="60"/>
      <c r="G48" s="60"/>
      <c r="H48" s="793"/>
      <c r="I48" s="794"/>
      <c r="J48" s="794"/>
      <c r="K48" s="795"/>
    </row>
    <row r="49" spans="1:13" ht="19.5" customHeight="1">
      <c r="A49" s="44"/>
      <c r="B49" s="803"/>
      <c r="C49" s="804"/>
      <c r="D49" s="872"/>
      <c r="E49" s="873"/>
      <c r="F49" s="60"/>
      <c r="G49" s="60"/>
      <c r="H49" s="793"/>
      <c r="I49" s="794"/>
      <c r="J49" s="794"/>
      <c r="K49" s="795"/>
    </row>
    <row r="50" spans="1:13" ht="19.5" customHeight="1">
      <c r="A50" s="46" t="s">
        <v>144</v>
      </c>
      <c r="B50" s="808"/>
      <c r="C50" s="809"/>
      <c r="D50" s="870"/>
      <c r="E50" s="871"/>
      <c r="F50" s="60"/>
      <c r="G50" s="60"/>
      <c r="H50" s="793"/>
      <c r="I50" s="794"/>
      <c r="J50" s="794"/>
      <c r="K50" s="795"/>
    </row>
    <row r="51" spans="1:13" ht="19.5" customHeight="1">
      <c r="A51" s="44"/>
      <c r="B51" s="803"/>
      <c r="C51" s="804"/>
      <c r="D51" s="872"/>
      <c r="E51" s="873"/>
      <c r="F51" s="60"/>
      <c r="G51" s="60"/>
      <c r="H51" s="793"/>
      <c r="I51" s="794"/>
      <c r="J51" s="794"/>
      <c r="K51" s="795"/>
    </row>
    <row r="52" spans="1:13" ht="19.5" customHeight="1">
      <c r="A52" s="46" t="s">
        <v>145</v>
      </c>
      <c r="B52" s="73"/>
      <c r="C52" s="74"/>
      <c r="D52" s="870"/>
      <c r="E52" s="871"/>
      <c r="F52" s="60"/>
      <c r="G52" s="60"/>
      <c r="H52" s="793"/>
      <c r="I52" s="794"/>
      <c r="J52" s="794"/>
      <c r="K52" s="795"/>
    </row>
    <row r="53" spans="1:13" ht="19.5" customHeight="1">
      <c r="A53" s="44"/>
      <c r="B53" s="75"/>
      <c r="C53" s="76"/>
      <c r="D53" s="872"/>
      <c r="E53" s="873"/>
      <c r="F53" s="60"/>
      <c r="G53" s="60"/>
      <c r="H53" s="793"/>
      <c r="I53" s="794"/>
      <c r="J53" s="794"/>
      <c r="K53" s="795"/>
    </row>
    <row r="54" spans="1:13" ht="19.5" customHeight="1">
      <c r="A54" s="46" t="s">
        <v>146</v>
      </c>
      <c r="B54" s="73"/>
      <c r="C54" s="74"/>
      <c r="D54" s="870"/>
      <c r="E54" s="871"/>
      <c r="F54" s="60"/>
      <c r="G54" s="60"/>
      <c r="H54" s="793"/>
      <c r="I54" s="794"/>
      <c r="J54" s="794"/>
      <c r="K54" s="795"/>
    </row>
    <row r="55" spans="1:13" ht="19.5" customHeight="1">
      <c r="A55" s="44"/>
      <c r="B55" s="75"/>
      <c r="C55" s="76"/>
      <c r="D55" s="872"/>
      <c r="E55" s="873"/>
      <c r="F55" s="60"/>
      <c r="G55" s="60"/>
      <c r="H55" s="793"/>
      <c r="I55" s="794"/>
      <c r="J55" s="794"/>
      <c r="K55" s="795"/>
    </row>
    <row r="56" spans="1:13" ht="19.5" customHeight="1">
      <c r="A56" s="46" t="s">
        <v>147</v>
      </c>
      <c r="B56" s="73"/>
      <c r="C56" s="74"/>
      <c r="D56" s="870"/>
      <c r="E56" s="871"/>
      <c r="F56" s="60"/>
      <c r="G56" s="60"/>
      <c r="H56" s="793"/>
      <c r="I56" s="794"/>
      <c r="J56" s="794"/>
      <c r="K56" s="795"/>
    </row>
    <row r="57" spans="1:13" ht="19.5" customHeight="1">
      <c r="A57" s="44"/>
      <c r="B57" s="75"/>
      <c r="C57" s="76"/>
      <c r="D57" s="872"/>
      <c r="E57" s="873"/>
      <c r="F57" s="60"/>
      <c r="G57" s="60"/>
      <c r="H57" s="793"/>
      <c r="I57" s="794"/>
      <c r="J57" s="794"/>
      <c r="K57" s="795"/>
    </row>
    <row r="58" spans="1:13" ht="19.5" customHeight="1">
      <c r="A58" s="46" t="s">
        <v>148</v>
      </c>
      <c r="B58" s="73"/>
      <c r="C58" s="74"/>
      <c r="D58" s="870"/>
      <c r="E58" s="871"/>
      <c r="F58" s="60"/>
      <c r="G58" s="60"/>
      <c r="H58" s="793"/>
      <c r="I58" s="794"/>
      <c r="J58" s="794"/>
      <c r="K58" s="795"/>
    </row>
    <row r="59" spans="1:13" ht="19.5" customHeight="1" thickBot="1">
      <c r="A59" s="48"/>
      <c r="B59" s="77"/>
      <c r="C59" s="78"/>
      <c r="D59" s="874"/>
      <c r="E59" s="875"/>
      <c r="F59" s="62"/>
      <c r="G59" s="62"/>
      <c r="H59" s="876"/>
      <c r="I59" s="877"/>
      <c r="J59" s="877"/>
      <c r="K59" s="878"/>
    </row>
    <row r="60" spans="1:13" ht="19.5" customHeight="1">
      <c r="B60" s="51"/>
      <c r="I60" s="52"/>
      <c r="J60" s="10"/>
      <c r="K60" s="66"/>
    </row>
    <row r="61" spans="1:13" ht="19.5" customHeight="1">
      <c r="A61" s="50"/>
      <c r="E61" s="796" t="s">
        <v>124</v>
      </c>
      <c r="F61" s="796"/>
      <c r="G61" s="796"/>
      <c r="H61" s="796"/>
      <c r="I61" s="796"/>
    </row>
    <row r="62" spans="1:13" ht="8.4499999999999993" customHeight="1">
      <c r="A62" s="54"/>
      <c r="B62" s="54"/>
      <c r="C62" s="55"/>
      <c r="D62" s="56"/>
      <c r="E62" s="54"/>
      <c r="F62" s="54"/>
      <c r="G62" s="54"/>
      <c r="H62" s="54"/>
      <c r="I62" s="54"/>
      <c r="J62" s="54"/>
      <c r="K62" s="54"/>
    </row>
    <row r="63" spans="1:13" ht="19.5" customHeight="1">
      <c r="B63" s="23"/>
      <c r="C63" s="23"/>
      <c r="D63" s="29"/>
      <c r="E63" s="65" t="s">
        <v>125</v>
      </c>
      <c r="F63" s="65"/>
      <c r="G63" s="65"/>
      <c r="H63" s="65"/>
      <c r="I63" s="65"/>
      <c r="J63" s="797"/>
      <c r="K63" s="797"/>
      <c r="L63" s="72"/>
      <c r="M63" s="72"/>
    </row>
    <row r="64" spans="1:13" ht="19.5" customHeight="1">
      <c r="H64" s="65"/>
      <c r="I64" s="65"/>
      <c r="J64" s="58"/>
      <c r="K64" s="58"/>
    </row>
  </sheetData>
  <sheetProtection algorithmName="SHA-512" hashValue="LeMaL6gPs3QE7wnbxO62fZFGlR6+xTNFm7q4EZNEZlYY9IHThX6TjMndx5KoD+G8wJ/ThsFNMrZfl6Fhnt7QdQ==" saltValue="2zOf6XewZfDOx6YoiYbL7A==" spinCount="100000" sheet="1" selectLockedCells="1"/>
  <mergeCells count="84">
    <mergeCell ref="H12:K13"/>
    <mergeCell ref="A7:C9"/>
    <mergeCell ref="J1:K1"/>
    <mergeCell ref="J2:K2"/>
    <mergeCell ref="J3:K3"/>
    <mergeCell ref="A4:B4"/>
    <mergeCell ref="E4:G4"/>
    <mergeCell ref="H1:I1"/>
    <mergeCell ref="H2:I2"/>
    <mergeCell ref="H3:I3"/>
    <mergeCell ref="D18:E19"/>
    <mergeCell ref="I5:J5"/>
    <mergeCell ref="H7:K7"/>
    <mergeCell ref="H8:K8"/>
    <mergeCell ref="B18:C19"/>
    <mergeCell ref="H18:K19"/>
    <mergeCell ref="D12:E13"/>
    <mergeCell ref="F7:G7"/>
    <mergeCell ref="D7:E7"/>
    <mergeCell ref="D8:E8"/>
    <mergeCell ref="D9:E9"/>
    <mergeCell ref="D10:E11"/>
    <mergeCell ref="H9:K9"/>
    <mergeCell ref="B12:C13"/>
    <mergeCell ref="B10:C11"/>
    <mergeCell ref="H10:K11"/>
    <mergeCell ref="B16:C17"/>
    <mergeCell ref="B14:C15"/>
    <mergeCell ref="H14:K15"/>
    <mergeCell ref="H16:K17"/>
    <mergeCell ref="D14:E15"/>
    <mergeCell ref="D16:E17"/>
    <mergeCell ref="B24:C25"/>
    <mergeCell ref="B22:C23"/>
    <mergeCell ref="H22:K23"/>
    <mergeCell ref="H24:K25"/>
    <mergeCell ref="B20:C21"/>
    <mergeCell ref="D22:E23"/>
    <mergeCell ref="D24:E25"/>
    <mergeCell ref="D20:E21"/>
    <mergeCell ref="H20:K21"/>
    <mergeCell ref="B26:C27"/>
    <mergeCell ref="H26:K27"/>
    <mergeCell ref="J31:K31"/>
    <mergeCell ref="H35:K35"/>
    <mergeCell ref="H36:K36"/>
    <mergeCell ref="D26:E27"/>
    <mergeCell ref="B40:C41"/>
    <mergeCell ref="B38:C39"/>
    <mergeCell ref="H38:K39"/>
    <mergeCell ref="H40:K41"/>
    <mergeCell ref="E29:I29"/>
    <mergeCell ref="E33:G33"/>
    <mergeCell ref="A35:C37"/>
    <mergeCell ref="H37:K37"/>
    <mergeCell ref="D38:E39"/>
    <mergeCell ref="D40:E41"/>
    <mergeCell ref="D35:E37"/>
    <mergeCell ref="F35:G35"/>
    <mergeCell ref="B46:C47"/>
    <mergeCell ref="H46:K47"/>
    <mergeCell ref="H48:K49"/>
    <mergeCell ref="B44:C45"/>
    <mergeCell ref="B42:C43"/>
    <mergeCell ref="H42:K43"/>
    <mergeCell ref="H44:K45"/>
    <mergeCell ref="D42:E43"/>
    <mergeCell ref="D44:E45"/>
    <mergeCell ref="D46:E47"/>
    <mergeCell ref="J63:K63"/>
    <mergeCell ref="D54:E55"/>
    <mergeCell ref="D56:E57"/>
    <mergeCell ref="D58:E59"/>
    <mergeCell ref="B48:C49"/>
    <mergeCell ref="D48:E49"/>
    <mergeCell ref="D50:E51"/>
    <mergeCell ref="D52:E53"/>
    <mergeCell ref="E61:I61"/>
    <mergeCell ref="B50:C51"/>
    <mergeCell ref="H50:K51"/>
    <mergeCell ref="H52:K53"/>
    <mergeCell ref="H54:K55"/>
    <mergeCell ref="H56:K57"/>
    <mergeCell ref="H58:K59"/>
  </mergeCells>
  <dataValidations count="1">
    <dataValidation type="list" allowBlank="1" showInputMessage="1" showErrorMessage="1" promptTitle="Sportfachverband auswählen" prompt="DropDown Menü" sqref="J1" xr:uid="{00000000-0002-0000-0800-000000000000}">
      <formula1>Sportfachverband</formula1>
    </dataValidation>
  </dataValidations>
  <pageMargins left="0.74803149606299213" right="0" top="0.23622047244094491" bottom="0" header="0.19685039370078741" footer="0.19685039370078741"/>
  <pageSetup paperSize="9" orientation="landscape" r:id="rId1"/>
  <headerFooter differentFirst="1" alignWithMargins="0">
    <oddFooter>&amp;LSeite &amp;P von &amp;N
Betreuer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tabColor rgb="FF00B050"/>
  </sheetPr>
  <dimension ref="A1:N47"/>
  <sheetViews>
    <sheetView view="pageBreakPreview" zoomScaleNormal="100" zoomScaleSheetLayoutView="100" workbookViewId="0">
      <selection activeCell="F17" sqref="F17"/>
    </sheetView>
  </sheetViews>
  <sheetFormatPr baseColWidth="10" defaultColWidth="11.42578125" defaultRowHeight="15"/>
  <cols>
    <col min="1" max="1" width="4.5703125" style="79" customWidth="1"/>
    <col min="2" max="2" width="31.140625" style="80" customWidth="1"/>
    <col min="3" max="3" width="7.28515625" style="80" customWidth="1"/>
    <col min="4" max="4" width="7.42578125" style="80" customWidth="1"/>
    <col min="5" max="12" width="9.7109375" style="80" customWidth="1"/>
    <col min="13" max="13" width="2" style="80" customWidth="1"/>
    <col min="14" max="16384" width="11.42578125" style="80"/>
  </cols>
  <sheetData>
    <row r="1" spans="1:12" ht="30" customHeight="1">
      <c r="C1" s="934" t="s">
        <v>107</v>
      </c>
      <c r="D1" s="934"/>
      <c r="E1" s="934"/>
      <c r="F1" s="934"/>
      <c r="G1" s="934"/>
      <c r="H1" s="908" t="s">
        <v>108</v>
      </c>
      <c r="I1" s="909"/>
      <c r="J1" s="935" t="s">
        <v>109</v>
      </c>
      <c r="K1" s="935"/>
      <c r="L1" s="935"/>
    </row>
    <row r="2" spans="1:12" ht="30" customHeight="1">
      <c r="C2" s="936" t="s">
        <v>149</v>
      </c>
      <c r="D2" s="936"/>
      <c r="E2" s="936"/>
      <c r="F2" s="936"/>
      <c r="G2" s="936"/>
      <c r="H2" s="908" t="s">
        <v>150</v>
      </c>
      <c r="I2" s="909"/>
      <c r="J2" s="923"/>
      <c r="K2" s="923"/>
      <c r="L2" s="923"/>
    </row>
    <row r="3" spans="1:12" ht="30" customHeight="1">
      <c r="A3" s="921"/>
      <c r="B3" s="921"/>
      <c r="C3" s="922" t="s">
        <v>320</v>
      </c>
      <c r="D3" s="922"/>
      <c r="E3" s="922"/>
      <c r="F3" s="922"/>
      <c r="G3" s="922"/>
      <c r="H3" s="908" t="s">
        <v>111</v>
      </c>
      <c r="I3" s="909"/>
      <c r="J3" s="923" t="str">
        <f ca="1">'TF Lehrgang Teilnehmende'!J3:K3</f>
        <v>TF-2025-</v>
      </c>
      <c r="K3" s="923"/>
      <c r="L3" s="923"/>
    </row>
    <row r="4" spans="1:12" s="82" customFormat="1" ht="11.25" customHeight="1">
      <c r="A4" s="81"/>
      <c r="B4" s="81"/>
    </row>
    <row r="5" spans="1:12" ht="17.100000000000001" customHeight="1">
      <c r="B5" s="83" t="s">
        <v>151</v>
      </c>
      <c r="C5" s="924"/>
      <c r="D5" s="925"/>
      <c r="E5" s="925"/>
      <c r="G5" s="84" t="s">
        <v>152</v>
      </c>
      <c r="H5" s="926"/>
      <c r="I5" s="927"/>
      <c r="J5" s="85" t="s">
        <v>153</v>
      </c>
      <c r="K5" s="928"/>
      <c r="L5" s="928"/>
    </row>
    <row r="6" spans="1:12" ht="14.1" customHeight="1" thickBot="1">
      <c r="E6" s="86"/>
      <c r="F6" s="86"/>
      <c r="G6" s="86"/>
      <c r="H6" s="86"/>
      <c r="I6" s="86"/>
      <c r="J6" s="86"/>
      <c r="K6" s="87" t="s">
        <v>84</v>
      </c>
      <c r="L6" s="87" t="s">
        <v>85</v>
      </c>
    </row>
    <row r="7" spans="1:12" ht="22.5" customHeight="1" thickBot="1">
      <c r="A7" s="893" t="s">
        <v>154</v>
      </c>
      <c r="B7" s="895" t="s">
        <v>155</v>
      </c>
      <c r="C7" s="929" t="s">
        <v>156</v>
      </c>
      <c r="D7" s="931" t="s">
        <v>157</v>
      </c>
      <c r="E7" s="932" t="s">
        <v>158</v>
      </c>
      <c r="F7" s="901"/>
      <c r="G7" s="901"/>
      <c r="H7" s="901"/>
      <c r="I7" s="901"/>
      <c r="J7" s="901"/>
      <c r="K7" s="901"/>
      <c r="L7" s="902"/>
    </row>
    <row r="8" spans="1:12" ht="25.5" customHeight="1" thickBot="1">
      <c r="A8" s="894"/>
      <c r="B8" s="896"/>
      <c r="C8" s="930"/>
      <c r="D8" s="931" t="s">
        <v>159</v>
      </c>
      <c r="E8" s="88"/>
      <c r="F8" s="88"/>
      <c r="G8" s="88"/>
      <c r="H8" s="88"/>
      <c r="I8" s="88"/>
      <c r="J8" s="88"/>
      <c r="K8" s="88"/>
      <c r="L8" s="89"/>
    </row>
    <row r="9" spans="1:12" ht="25.5" customHeight="1">
      <c r="A9" s="90">
        <v>1</v>
      </c>
      <c r="B9" s="443"/>
      <c r="C9" s="92"/>
      <c r="D9" s="93"/>
      <c r="E9" s="94"/>
      <c r="F9" s="95"/>
      <c r="G9" s="95"/>
      <c r="H9" s="95"/>
      <c r="I9" s="95"/>
      <c r="J9" s="95"/>
      <c r="K9" s="95"/>
      <c r="L9" s="96"/>
    </row>
    <row r="10" spans="1:12" ht="25.5" customHeight="1">
      <c r="A10" s="97">
        <v>2</v>
      </c>
      <c r="B10" s="444"/>
      <c r="C10" s="99"/>
      <c r="D10" s="99"/>
      <c r="E10" s="445"/>
      <c r="F10" s="446"/>
      <c r="G10" s="101"/>
      <c r="H10" s="101"/>
      <c r="I10" s="101"/>
      <c r="J10" s="101"/>
      <c r="K10" s="101"/>
      <c r="L10" s="102"/>
    </row>
    <row r="11" spans="1:12" ht="25.5" customHeight="1">
      <c r="A11" s="97">
        <v>3</v>
      </c>
      <c r="B11" s="98"/>
      <c r="C11" s="99"/>
      <c r="D11" s="99"/>
      <c r="E11" s="100"/>
      <c r="F11" s="101"/>
      <c r="G11" s="101"/>
      <c r="H11" s="101"/>
      <c r="I11" s="101"/>
      <c r="J11" s="101"/>
      <c r="K11" s="101"/>
      <c r="L11" s="102"/>
    </row>
    <row r="12" spans="1:12" ht="25.5" customHeight="1">
      <c r="A12" s="97">
        <v>4</v>
      </c>
      <c r="B12" s="98"/>
      <c r="C12" s="99"/>
      <c r="D12" s="99"/>
      <c r="E12" s="100"/>
      <c r="F12" s="101"/>
      <c r="G12" s="101"/>
      <c r="H12" s="101"/>
      <c r="I12" s="101"/>
      <c r="J12" s="101"/>
      <c r="K12" s="101"/>
      <c r="L12" s="102"/>
    </row>
    <row r="13" spans="1:12" ht="25.5" customHeight="1">
      <c r="A13" s="97">
        <v>5</v>
      </c>
      <c r="B13" s="98"/>
      <c r="C13" s="99"/>
      <c r="D13" s="99"/>
      <c r="E13" s="100"/>
      <c r="F13" s="101"/>
      <c r="G13" s="101"/>
      <c r="H13" s="101"/>
      <c r="I13" s="101"/>
      <c r="J13" s="101"/>
      <c r="K13" s="101"/>
      <c r="L13" s="102"/>
    </row>
    <row r="14" spans="1:12" ht="25.5" customHeight="1">
      <c r="A14" s="97">
        <v>6</v>
      </c>
      <c r="B14" s="98"/>
      <c r="C14" s="99"/>
      <c r="D14" s="99"/>
      <c r="E14" s="100"/>
      <c r="F14" s="101"/>
      <c r="G14" s="101"/>
      <c r="H14" s="101"/>
      <c r="I14" s="101"/>
      <c r="J14" s="101"/>
      <c r="K14" s="101"/>
      <c r="L14" s="102"/>
    </row>
    <row r="15" spans="1:12" ht="25.5" customHeight="1">
      <c r="A15" s="97">
        <v>7</v>
      </c>
      <c r="B15" s="98"/>
      <c r="C15" s="99"/>
      <c r="D15" s="99"/>
      <c r="E15" s="100"/>
      <c r="F15" s="101"/>
      <c r="G15" s="101"/>
      <c r="H15" s="101"/>
      <c r="I15" s="101"/>
      <c r="J15" s="101"/>
      <c r="K15" s="101"/>
      <c r="L15" s="102"/>
    </row>
    <row r="16" spans="1:12" ht="25.5" customHeight="1">
      <c r="A16" s="97">
        <v>8</v>
      </c>
      <c r="B16" s="98"/>
      <c r="C16" s="99"/>
      <c r="D16" s="99"/>
      <c r="E16" s="100"/>
      <c r="F16" s="101"/>
      <c r="G16" s="101"/>
      <c r="H16" s="101"/>
      <c r="I16" s="101"/>
      <c r="J16" s="101"/>
      <c r="K16" s="101"/>
      <c r="L16" s="102"/>
    </row>
    <row r="17" spans="1:14" ht="25.5" customHeight="1">
      <c r="A17" s="97">
        <v>9</v>
      </c>
      <c r="B17" s="98"/>
      <c r="C17" s="99"/>
      <c r="D17" s="99"/>
      <c r="E17" s="100"/>
      <c r="F17" s="101"/>
      <c r="G17" s="101"/>
      <c r="H17" s="101"/>
      <c r="I17" s="101"/>
      <c r="J17" s="101"/>
      <c r="K17" s="101"/>
      <c r="L17" s="102"/>
    </row>
    <row r="18" spans="1:14" ht="25.5" customHeight="1">
      <c r="A18" s="97">
        <v>10</v>
      </c>
      <c r="B18" s="98"/>
      <c r="C18" s="99"/>
      <c r="D18" s="99"/>
      <c r="E18" s="100"/>
      <c r="F18" s="101"/>
      <c r="G18" s="101"/>
      <c r="H18" s="101"/>
      <c r="I18" s="101"/>
      <c r="J18" s="101"/>
      <c r="K18" s="101"/>
      <c r="L18" s="102"/>
    </row>
    <row r="19" spans="1:14" ht="25.5" customHeight="1">
      <c r="A19" s="103">
        <v>11</v>
      </c>
      <c r="B19" s="104"/>
      <c r="C19" s="93"/>
      <c r="D19" s="93"/>
      <c r="E19" s="94"/>
      <c r="F19" s="95"/>
      <c r="G19" s="95"/>
      <c r="H19" s="95"/>
      <c r="I19" s="95"/>
      <c r="J19" s="101"/>
      <c r="K19" s="101"/>
      <c r="L19" s="102"/>
    </row>
    <row r="20" spans="1:14" ht="25.5" customHeight="1" thickBot="1">
      <c r="A20" s="105">
        <v>12</v>
      </c>
      <c r="B20" s="106"/>
      <c r="C20" s="107"/>
      <c r="D20" s="107"/>
      <c r="E20" s="108"/>
      <c r="F20" s="109"/>
      <c r="G20" s="109"/>
      <c r="H20" s="109"/>
      <c r="I20" s="109"/>
      <c r="J20" s="110"/>
      <c r="K20" s="111"/>
      <c r="L20" s="112"/>
    </row>
    <row r="21" spans="1:14" ht="18.95" customHeight="1">
      <c r="A21" s="113"/>
      <c r="D21" s="114" t="s">
        <v>124</v>
      </c>
      <c r="I21" s="933"/>
      <c r="J21" s="933"/>
      <c r="K21" s="933"/>
      <c r="L21" s="933"/>
    </row>
    <row r="22" spans="1:14" ht="11.25" customHeight="1"/>
    <row r="23" spans="1:14" ht="18.95" customHeight="1">
      <c r="D23" s="115" t="s">
        <v>160</v>
      </c>
      <c r="E23" s="115"/>
      <c r="F23" s="115"/>
      <c r="G23" s="115"/>
      <c r="H23" s="115"/>
      <c r="I23" s="903"/>
      <c r="J23" s="903"/>
      <c r="K23" s="903"/>
      <c r="L23" s="903"/>
    </row>
    <row r="24" spans="1:14" ht="30" customHeight="1">
      <c r="C24" s="904" t="s">
        <v>161</v>
      </c>
      <c r="D24" s="905"/>
      <c r="E24" s="906" t="str">
        <f ca="1">J3</f>
        <v>TF-2025-</v>
      </c>
      <c r="F24" s="907"/>
      <c r="G24" s="116"/>
      <c r="H24" s="908" t="s">
        <v>108</v>
      </c>
      <c r="I24" s="909"/>
      <c r="J24" s="910" t="str">
        <f>J1</f>
        <v>5102 Badminton</v>
      </c>
      <c r="K24" s="911"/>
      <c r="L24" s="912"/>
    </row>
    <row r="25" spans="1:14" ht="11.25" customHeight="1" thickBot="1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</row>
    <row r="26" spans="1:14" ht="16.5" thickBot="1">
      <c r="B26" s="83" t="s">
        <v>151</v>
      </c>
      <c r="C26" s="913">
        <f>C5</f>
        <v>0</v>
      </c>
      <c r="D26" s="914"/>
      <c r="E26" s="915"/>
      <c r="G26" s="84" t="s">
        <v>152</v>
      </c>
      <c r="H26" s="916">
        <f>H5</f>
        <v>0</v>
      </c>
      <c r="I26" s="917"/>
      <c r="J26" s="85" t="s">
        <v>153</v>
      </c>
      <c r="K26" s="918">
        <f>K5</f>
        <v>0</v>
      </c>
      <c r="L26" s="919"/>
    </row>
    <row r="27" spans="1:14" ht="14.1" customHeight="1" thickBot="1">
      <c r="K27" s="87" t="s">
        <v>84</v>
      </c>
      <c r="L27" s="87" t="s">
        <v>85</v>
      </c>
    </row>
    <row r="28" spans="1:14" ht="22.5" customHeight="1" thickBot="1">
      <c r="A28" s="893" t="s">
        <v>154</v>
      </c>
      <c r="B28" s="895" t="s">
        <v>155</v>
      </c>
      <c r="C28" s="897" t="s">
        <v>117</v>
      </c>
      <c r="D28" s="899" t="s">
        <v>157</v>
      </c>
      <c r="E28" s="900" t="s">
        <v>158</v>
      </c>
      <c r="F28" s="901"/>
      <c r="G28" s="901"/>
      <c r="H28" s="901"/>
      <c r="I28" s="901"/>
      <c r="J28" s="901"/>
      <c r="K28" s="901"/>
      <c r="L28" s="902"/>
    </row>
    <row r="29" spans="1:14" ht="25.5" customHeight="1" thickBot="1">
      <c r="A29" s="894"/>
      <c r="B29" s="896"/>
      <c r="C29" s="898"/>
      <c r="D29" s="899" t="s">
        <v>159</v>
      </c>
      <c r="E29" s="117">
        <f>E8</f>
        <v>0</v>
      </c>
      <c r="F29" s="117">
        <f t="shared" ref="F29:L29" si="0">F8</f>
        <v>0</v>
      </c>
      <c r="G29" s="117">
        <f t="shared" si="0"/>
        <v>0</v>
      </c>
      <c r="H29" s="117">
        <f t="shared" si="0"/>
        <v>0</v>
      </c>
      <c r="I29" s="117">
        <f t="shared" si="0"/>
        <v>0</v>
      </c>
      <c r="J29" s="117">
        <f t="shared" si="0"/>
        <v>0</v>
      </c>
      <c r="K29" s="117">
        <f t="shared" si="0"/>
        <v>0</v>
      </c>
      <c r="L29" s="117">
        <f t="shared" si="0"/>
        <v>0</v>
      </c>
    </row>
    <row r="30" spans="1:14" ht="25.5" customHeight="1">
      <c r="A30" s="90">
        <v>13</v>
      </c>
      <c r="B30" s="91"/>
      <c r="C30" s="447"/>
      <c r="D30" s="93"/>
      <c r="E30" s="94"/>
      <c r="F30" s="95"/>
      <c r="G30" s="95"/>
      <c r="H30" s="95"/>
      <c r="I30" s="95"/>
      <c r="J30" s="95"/>
      <c r="K30" s="95"/>
      <c r="L30" s="96"/>
    </row>
    <row r="31" spans="1:14" ht="25.5" customHeight="1">
      <c r="A31" s="97">
        <v>14</v>
      </c>
      <c r="B31" s="98"/>
      <c r="C31" s="448"/>
      <c r="D31" s="99"/>
      <c r="E31" s="100"/>
      <c r="F31" s="101"/>
      <c r="G31" s="101"/>
      <c r="H31" s="101"/>
      <c r="I31" s="101"/>
      <c r="J31" s="101"/>
      <c r="K31" s="101"/>
      <c r="L31" s="102"/>
    </row>
    <row r="32" spans="1:14" ht="25.5" customHeight="1">
      <c r="A32" s="97">
        <v>15</v>
      </c>
      <c r="B32" s="98"/>
      <c r="C32" s="448"/>
      <c r="D32" s="99"/>
      <c r="E32" s="100"/>
      <c r="F32" s="101"/>
      <c r="G32" s="101"/>
      <c r="H32" s="101"/>
      <c r="I32" s="101"/>
      <c r="J32" s="101"/>
      <c r="K32" s="101"/>
      <c r="L32" s="102"/>
      <c r="N32" s="79"/>
    </row>
    <row r="33" spans="1:12" ht="25.5" customHeight="1">
      <c r="A33" s="97">
        <v>16</v>
      </c>
      <c r="B33" s="98"/>
      <c r="C33" s="448"/>
      <c r="D33" s="99"/>
      <c r="E33" s="100"/>
      <c r="F33" s="101"/>
      <c r="G33" s="101"/>
      <c r="H33" s="101"/>
      <c r="I33" s="101"/>
      <c r="J33" s="101"/>
      <c r="K33" s="101"/>
      <c r="L33" s="102"/>
    </row>
    <row r="34" spans="1:12" ht="25.5" customHeight="1">
      <c r="A34" s="97">
        <v>17</v>
      </c>
      <c r="B34" s="98"/>
      <c r="C34" s="448"/>
      <c r="D34" s="99"/>
      <c r="E34" s="100"/>
      <c r="F34" s="101"/>
      <c r="G34" s="101"/>
      <c r="H34" s="101"/>
      <c r="I34" s="101"/>
      <c r="J34" s="101"/>
      <c r="K34" s="101"/>
      <c r="L34" s="102"/>
    </row>
    <row r="35" spans="1:12" ht="25.5" customHeight="1">
      <c r="A35" s="97">
        <v>18</v>
      </c>
      <c r="B35" s="98"/>
      <c r="C35" s="448"/>
      <c r="D35" s="99"/>
      <c r="E35" s="100"/>
      <c r="F35" s="101"/>
      <c r="G35" s="101"/>
      <c r="H35" s="101"/>
      <c r="I35" s="101"/>
      <c r="J35" s="101"/>
      <c r="K35" s="101"/>
      <c r="L35" s="102"/>
    </row>
    <row r="36" spans="1:12" ht="25.5" customHeight="1">
      <c r="A36" s="97">
        <v>19</v>
      </c>
      <c r="B36" s="98"/>
      <c r="C36" s="448"/>
      <c r="D36" s="99"/>
      <c r="E36" s="100"/>
      <c r="F36" s="101"/>
      <c r="G36" s="101"/>
      <c r="H36" s="101"/>
      <c r="I36" s="101"/>
      <c r="J36" s="101"/>
      <c r="K36" s="101"/>
      <c r="L36" s="102"/>
    </row>
    <row r="37" spans="1:12" ht="25.5" customHeight="1">
      <c r="A37" s="97">
        <v>20</v>
      </c>
      <c r="B37" s="98"/>
      <c r="C37" s="448"/>
      <c r="D37" s="99"/>
      <c r="E37" s="100"/>
      <c r="F37" s="101"/>
      <c r="G37" s="101"/>
      <c r="H37" s="101"/>
      <c r="I37" s="101"/>
      <c r="J37" s="101"/>
      <c r="K37" s="101"/>
      <c r="L37" s="102"/>
    </row>
    <row r="38" spans="1:12" ht="25.5" customHeight="1">
      <c r="A38" s="97">
        <v>21</v>
      </c>
      <c r="B38" s="98"/>
      <c r="C38" s="448"/>
      <c r="D38" s="99"/>
      <c r="E38" s="100"/>
      <c r="F38" s="101"/>
      <c r="G38" s="101"/>
      <c r="H38" s="101"/>
      <c r="I38" s="101"/>
      <c r="J38" s="101"/>
      <c r="K38" s="101"/>
      <c r="L38" s="102"/>
    </row>
    <row r="39" spans="1:12" ht="25.5" customHeight="1">
      <c r="A39" s="97">
        <v>22</v>
      </c>
      <c r="B39" s="98"/>
      <c r="C39" s="99"/>
      <c r="D39" s="99"/>
      <c r="E39" s="100"/>
      <c r="F39" s="101"/>
      <c r="G39" s="101"/>
      <c r="H39" s="101"/>
      <c r="I39" s="101"/>
      <c r="J39" s="101"/>
      <c r="K39" s="101"/>
      <c r="L39" s="102"/>
    </row>
    <row r="40" spans="1:12" ht="25.5" customHeight="1">
      <c r="A40" s="97">
        <v>23</v>
      </c>
      <c r="B40" s="98"/>
      <c r="C40" s="449"/>
      <c r="D40" s="93"/>
      <c r="E40" s="94"/>
      <c r="F40" s="95"/>
      <c r="G40" s="95"/>
      <c r="H40" s="95"/>
      <c r="I40" s="95"/>
      <c r="J40" s="95"/>
      <c r="K40" s="95"/>
      <c r="L40" s="96"/>
    </row>
    <row r="41" spans="1:12" ht="25.5" customHeight="1">
      <c r="A41" s="97">
        <v>24</v>
      </c>
      <c r="B41" s="98"/>
      <c r="C41" s="449"/>
      <c r="D41" s="93"/>
      <c r="E41" s="94"/>
      <c r="F41" s="95"/>
      <c r="G41" s="95"/>
      <c r="H41" s="95"/>
      <c r="I41" s="95"/>
      <c r="J41" s="95"/>
      <c r="K41" s="95"/>
      <c r="L41" s="96"/>
    </row>
    <row r="42" spans="1:12" ht="25.5" customHeight="1">
      <c r="A42" s="97">
        <v>25</v>
      </c>
      <c r="B42" s="98"/>
      <c r="C42" s="448"/>
      <c r="D42" s="99"/>
      <c r="E42" s="100"/>
      <c r="F42" s="101"/>
      <c r="G42" s="101"/>
      <c r="H42" s="101"/>
      <c r="I42" s="101"/>
      <c r="J42" s="101"/>
      <c r="K42" s="101"/>
      <c r="L42" s="102"/>
    </row>
    <row r="43" spans="1:12" ht="25.5" customHeight="1" thickBot="1">
      <c r="A43" s="118">
        <v>26</v>
      </c>
      <c r="B43" s="450"/>
      <c r="C43" s="451"/>
      <c r="D43" s="107"/>
      <c r="E43" s="108"/>
      <c r="F43" s="109"/>
      <c r="G43" s="109"/>
      <c r="H43" s="109"/>
      <c r="I43" s="109"/>
      <c r="J43" s="109"/>
      <c r="K43" s="109"/>
      <c r="L43" s="452"/>
    </row>
    <row r="44" spans="1:12">
      <c r="A44" s="119"/>
      <c r="B44" s="120"/>
      <c r="D44" s="115"/>
      <c r="E44" s="115"/>
      <c r="F44" s="115"/>
      <c r="G44" s="115"/>
      <c r="H44" s="115"/>
      <c r="I44" s="121"/>
      <c r="J44" s="121"/>
      <c r="K44" s="121"/>
    </row>
    <row r="45" spans="1:12">
      <c r="D45" s="114" t="s">
        <v>124</v>
      </c>
      <c r="I45" s="920"/>
      <c r="J45" s="920"/>
      <c r="K45" s="920"/>
      <c r="L45" s="920"/>
    </row>
    <row r="47" spans="1:12">
      <c r="D47" s="115" t="s">
        <v>160</v>
      </c>
      <c r="E47" s="115"/>
      <c r="F47" s="115"/>
      <c r="G47" s="115"/>
      <c r="H47" s="453"/>
      <c r="I47" s="903"/>
      <c r="J47" s="903"/>
      <c r="K47" s="903"/>
      <c r="L47" s="903"/>
    </row>
  </sheetData>
  <sheetProtection algorithmName="SHA-512" hashValue="Mcqyr+xuKBFuxsMfG8ERa320tUAStgAc6ci6YP0AhC5Div8txXXSfRxD6J1EdSALTECEuoNEQInS7oY4ouaXiQ==" saltValue="TgOjBCa4N0iVdK5QuBxDzw==" spinCount="100000" sheet="1" selectLockedCells="1"/>
  <mergeCells count="34">
    <mergeCell ref="C1:G1"/>
    <mergeCell ref="H1:I1"/>
    <mergeCell ref="J1:L1"/>
    <mergeCell ref="C2:G2"/>
    <mergeCell ref="H2:I2"/>
    <mergeCell ref="J2:L2"/>
    <mergeCell ref="I23:L23"/>
    <mergeCell ref="A3:B3"/>
    <mergeCell ref="C3:G3"/>
    <mergeCell ref="H3:I3"/>
    <mergeCell ref="J3:L3"/>
    <mergeCell ref="C5:E5"/>
    <mergeCell ref="H5:I5"/>
    <mergeCell ref="K5:L5"/>
    <mergeCell ref="A7:A8"/>
    <mergeCell ref="B7:B8"/>
    <mergeCell ref="C7:C8"/>
    <mergeCell ref="D7:D8"/>
    <mergeCell ref="E7:L7"/>
    <mergeCell ref="I21:L21"/>
    <mergeCell ref="I47:L47"/>
    <mergeCell ref="C24:D24"/>
    <mergeCell ref="E24:F24"/>
    <mergeCell ref="H24:I24"/>
    <mergeCell ref="J24:L24"/>
    <mergeCell ref="C26:E26"/>
    <mergeCell ref="H26:I26"/>
    <mergeCell ref="K26:L26"/>
    <mergeCell ref="I45:L45"/>
    <mergeCell ref="A28:A29"/>
    <mergeCell ref="B28:B29"/>
    <mergeCell ref="C28:C29"/>
    <mergeCell ref="D28:D29"/>
    <mergeCell ref="E28:L28"/>
  </mergeCells>
  <dataValidations count="2">
    <dataValidation type="list" allowBlank="1" showInputMessage="1" promptTitle="Sportfachverband auswählen" prompt="DropDown Menü" sqref="J1:L1" xr:uid="{00000000-0002-0000-0900-000000000000}">
      <formula1>Sportfachverband</formula1>
    </dataValidation>
    <dataValidation type="list" allowBlank="1" showInputMessage="1" showErrorMessage="1" sqref="D9:D20 D30:D43" xr:uid="{00000000-0002-0000-0900-000001000000}">
      <formula1>"TK, LK, BK"</formula1>
    </dataValidation>
  </dataValidations>
  <pageMargins left="0.78740157480314965" right="0.39370078740157483" top="0.59055118110236227" bottom="0.39370078740157483" header="0.31496062992125984" footer="0.31496062992125984"/>
  <pageSetup paperSize="9" orientation="landscape" r:id="rId1"/>
  <headerFooter differentFirst="1"/>
  <rowBreaks count="1" manualBreakCount="1">
    <brk id="23" max="16383" man="1"/>
  </row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>
    <tabColor theme="0" tint="-0.249977111117893"/>
  </sheetPr>
  <dimension ref="A1:AM27"/>
  <sheetViews>
    <sheetView zoomScale="125" zoomScaleNormal="125" zoomScalePageLayoutView="125" workbookViewId="0">
      <selection activeCell="B2" sqref="B2"/>
    </sheetView>
  </sheetViews>
  <sheetFormatPr baseColWidth="10" defaultColWidth="10.85546875" defaultRowHeight="12.75"/>
  <cols>
    <col min="2" max="2" width="15.140625" customWidth="1"/>
    <col min="3" max="3" width="17.140625" customWidth="1"/>
    <col min="4" max="4" width="21.42578125" customWidth="1"/>
    <col min="5" max="5" width="15.140625" customWidth="1"/>
    <col min="6" max="6" width="11.85546875" customWidth="1"/>
    <col min="12" max="12" width="14.7109375" customWidth="1"/>
    <col min="13" max="13" width="20.7109375" customWidth="1"/>
    <col min="14" max="14" width="13.7109375" customWidth="1"/>
    <col min="15" max="15" width="21" customWidth="1"/>
    <col min="16" max="16" width="15.28515625" customWidth="1"/>
    <col min="17" max="17" width="17.140625" customWidth="1"/>
    <col min="19" max="19" width="26" customWidth="1"/>
  </cols>
  <sheetData>
    <row r="1" spans="1:39">
      <c r="A1" s="1" t="s">
        <v>39</v>
      </c>
      <c r="B1" s="1" t="s">
        <v>40</v>
      </c>
      <c r="C1" s="1" t="s">
        <v>41</v>
      </c>
      <c r="D1" s="1" t="s">
        <v>42</v>
      </c>
      <c r="E1" s="1" t="s">
        <v>43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48</v>
      </c>
      <c r="K1" s="1" t="s">
        <v>49</v>
      </c>
      <c r="L1" t="s">
        <v>65</v>
      </c>
      <c r="M1" t="s">
        <v>69</v>
      </c>
      <c r="N1" t="s">
        <v>66</v>
      </c>
      <c r="O1" t="s">
        <v>67</v>
      </c>
      <c r="P1" t="s">
        <v>68</v>
      </c>
      <c r="Q1" t="s">
        <v>74</v>
      </c>
      <c r="R1" s="22" t="s">
        <v>75</v>
      </c>
      <c r="S1" t="s">
        <v>95</v>
      </c>
    </row>
    <row r="2" spans="1:39">
      <c r="A2" s="3">
        <f>IF('RKA Einzel ML'!J18 &gt; 'RKA Einzel ML'!J20, "",IF('RKA Einzel ML'!E18 = 'RKA Einzel ML'!E20,MOD('RKA Einzel ML'!J20-'RKA Einzel ML'!J18,1)*24, ""))</f>
        <v>0</v>
      </c>
      <c r="B2" s="3" t="str">
        <f>IF('RKA Einzel ML'!E18 &lt;&gt; 'RKA Einzel ML'!E20,MOD(E2-'RKA Einzel ML'!J18,1)*24, "")</f>
        <v/>
      </c>
      <c r="C2" s="3" t="str">
        <f>IF('RKA Einzel ML'!E18 &lt;&gt; 'RKA Einzel ML'!E20,MOD('RKA Einzel ML'!J20-E2,1)*24, "")</f>
        <v/>
      </c>
      <c r="D2" s="2" t="str">
        <f>IF(AND('RKA Einzel ML'!E18 &lt;&gt; 'RKA Einzel ML'!E20,DATEDIF('RKA Einzel ML'!E18,'RKA Einzel ML'!E20,"d")-1 &lt;&gt; 0),DATEDIF('RKA Einzel ML'!E18,'RKA Einzel ML'!E20,"d")-1,"")</f>
        <v/>
      </c>
      <c r="E2" s="7">
        <v>0</v>
      </c>
      <c r="F2" s="5" t="str">
        <f>IF(AND($B2&gt;=6,$B2&lt;8,$C2&gt;=6,$C2&lt;8),2,IF(AND($B2&gt;=6,$B2&lt;8),1,IF(AND($C2&gt;=6,$C2&lt;8),1,"")))</f>
        <v/>
      </c>
      <c r="G2" s="5" t="str">
        <f>IF(AND($B2&gt;=8,$B2&lt;12,$C2&gt;=8,$C2&lt;12),2,IF(AND($B2&gt;=8,$B2&lt;12),1,IF(AND($C2&gt;=8,$C2&lt;12),1,"")))</f>
        <v/>
      </c>
      <c r="H2" s="8" t="str">
        <f>IF('RKA Einzel ML'!E18 = 'RKA Einzel ML'!E20, "",IF(AND(B2 &lt; 12, C2 &lt; 12, D2 = ""), "",IF(AND(B2 &lt; 12, C2 &lt; 12, D2 &lt;&gt; ""),D2,IF(AND($B2&gt;=12,$C2&gt;=12),2+IF(D2&lt;&gt;"",D2,0),IF($B2&gt;=12,1+IF(D2&lt;&gt;"",D2,0),IF($C2&gt;=12,1+IF(D2&lt;&gt;"",D2,0)))))))</f>
        <v/>
      </c>
      <c r="I2" s="9">
        <f>IF('RKA Einzel ML'!$G58 = "x",(IF('RKA Einzel ML'!$K$52 &lt;&gt; "", 'RKA Einzel ML'!$K$52, 0)+IF('RKA Einzel ML'!$K$54 &lt;&gt; "", 'RKA Einzel ML'!$K$54, 0)+IF('RKA Einzel ML'!$K$56 &lt;&gt; "", 'RKA Einzel ML'!$K$56, 0))*'RKA Einzel ML'!$H58,0)</f>
        <v>0</v>
      </c>
      <c r="J2" s="9">
        <f>IF('RKA Einzel ML'!$G59 = "x",(IF('RKA Einzel ML'!$K$52 &lt;&gt; "", 'RKA Einzel ML'!$K$52, 0)+IF('RKA Einzel ML'!$K$54 &lt;&gt; "", 'RKA Einzel ML'!$K$54, 0)+IF('RKA Einzel ML'!$K$56 &lt;&gt; "", 'RKA Einzel ML'!$K$56, 0))*'RKA Einzel ML'!$H59,0)</f>
        <v>0</v>
      </c>
      <c r="K2" s="9">
        <f>IF('RKA Einzel ML'!$G60 = "x",(IF('RKA Einzel ML'!$K$52 &lt;&gt; "", 'RKA Einzel ML'!$K$52, 0)+IF('RKA Einzel ML'!$K$54 &lt;&gt; "", 'RKA Einzel ML'!$K$54, 0)+IF('RKA Einzel ML'!$K$56 &lt;&gt; "", 'RKA Einzel ML'!$K$56, 0))*'RKA Einzel ML'!$H60,0)</f>
        <v>0</v>
      </c>
      <c r="L2" t="str">
        <f>IF(A2 = "",'RKA Einzel ML'!K52+'RKA Einzel ML'!K54+'RKA Einzel ML'!K56,"")</f>
        <v/>
      </c>
      <c r="M2">
        <f>IF(AND($A$2="", 'RKA Einzel ML'!$G58 = "x"),IF($B$2&gt;=12,VLOOKUP('RKA Einzel ML'!$K$6,Tagessätze!$A$2:$P$9,9),IF($B$2&gt;=8,VLOOKUP('RKA Einzel ML'!$K$6,Tagessätze!$A$2:$P$9,8),IF($B$2&gt;=6,VLOOKUP('RKA Einzel ML'!$K$6,Tagessätze!$A$2:$P$9,7),0))),0)</f>
        <v>0</v>
      </c>
      <c r="N2" t="e">
        <f>($L$2-$M$2)*VLOOKUP('RKA Einzel ML'!$K$6,Tagessätze!$A$2:$P$9,10)</f>
        <v>#VALUE!</v>
      </c>
      <c r="O2">
        <f>IF(AND($A$2="", 'RKA Einzel ML'!$G60 = "x"),IF($C$2&gt;=12,VLOOKUP('RKA Einzel ML'!$K$6,Tagessätze!$A$2:$P$9,9),IF($C$2&gt;=8,VLOOKUP('RKA Einzel ML'!$K$6,Tagessätze!$A$2:$P$9,8),IF($C$2&gt;=6,VLOOKUP('RKA Einzel ML'!$K$6,Tagessätze!$A$2:$P$9,7),0))),0)</f>
        <v>0</v>
      </c>
      <c r="P2" t="e">
        <f>($L$2-$O$2)*VLOOKUP('RKA Einzel ML'!$K$6,Tagessätze!$A$2:$P$9,12)</f>
        <v>#VALUE!</v>
      </c>
      <c r="Q2">
        <f>IF('RKA Masse'!Q3 &lt;&gt; "", VLOOKUP('RKA Masse'!Q3, Tagessätze!A1:P10, 2,0),"")</f>
        <v>0.3</v>
      </c>
      <c r="R2" s="22" t="str">
        <f>IF('RKA Masse'!C10 &lt;&gt; "", CONCATENATE("MF ", ROW()-1),"")</f>
        <v/>
      </c>
      <c r="S2" t="str">
        <f>IF(R2 &lt;&gt; "", VLOOKUP('RKA Masse'!$Q$3, Tagessätze!$A$1:$P$10, 3,0),"")</f>
        <v/>
      </c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</row>
    <row r="3" spans="1:39">
      <c r="B3" s="2"/>
      <c r="E3" s="6"/>
      <c r="R3" s="22" t="str">
        <f>IF('RKA Masse'!C11 &lt;&gt; "", CONCATENATE("MF ", ROW()-1),"")</f>
        <v/>
      </c>
      <c r="S3" t="str">
        <f>IF(R3 &lt;&gt; "", VLOOKUP('RKA Masse'!$Q$3, Tagessätze!$A$1:$P$10, 3,0),"")</f>
        <v/>
      </c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</row>
    <row r="4" spans="1:39">
      <c r="R4" s="22" t="str">
        <f>IF('RKA Masse'!C12 &lt;&gt; "", CONCATENATE("MF ", ROW()-1),"")</f>
        <v/>
      </c>
      <c r="S4" t="str">
        <f>IF(R4 &lt;&gt; "", VLOOKUP('RKA Masse'!$Q$3, Tagessätze!$A$1:$P$10, 3,0),"")</f>
        <v/>
      </c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</row>
    <row r="5" spans="1:39">
      <c r="A5" t="s">
        <v>80</v>
      </c>
      <c r="B5" t="s">
        <v>93</v>
      </c>
      <c r="C5" t="s">
        <v>82</v>
      </c>
      <c r="D5" t="s">
        <v>70</v>
      </c>
      <c r="R5" s="22" t="str">
        <f>IF('RKA Masse'!C13 &lt;&gt; "", CONCATENATE("MF ", ROW()-1),"")</f>
        <v/>
      </c>
      <c r="S5" t="str">
        <f>IF(R5 &lt;&gt; "", VLOOKUP('RKA Masse'!$Q$3, Tagessätze!$A$1:$P$10, 3,0),"")</f>
        <v/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</row>
    <row r="6" spans="1:39">
      <c r="A6" s="3" t="str">
        <f>IF(AND('Honorar ML'!B19 &lt;&gt; "", 'Honorar ML'!C19 &lt;&gt; ""),(HOUR('Honorar ML'!C19-'Honorar ML'!B19)*60+MINUTE('Honorar ML'!C19-'Honorar ML'!B19))/60, "")</f>
        <v/>
      </c>
      <c r="B6" s="3" t="str">
        <f>IF(AND('Honorar ML'!D19 &lt;&gt; "", 'Honorar ML'!E19 &lt;&gt; ""),(HOUR('Honorar ML'!E19-'Honorar ML'!D19)*60+MINUTE('Honorar ML'!E19-'Honorar ML'!D19))/60, "")</f>
        <v/>
      </c>
      <c r="C6" s="3" t="str">
        <f>IF(AND('Honorar ML'!F19 &lt;&gt; "", 'Honorar ML'!G19 &lt;&gt; ""),(HOUR('Honorar ML'!G19-'Honorar ML'!F19)*60+MINUTE('Honorar ML'!G19-'Honorar ML'!F19))/60, "")</f>
        <v/>
      </c>
      <c r="D6" s="3" t="str">
        <f>IF(COUNT(A6:C6) &gt;0, SUM(A6:C6), "")</f>
        <v/>
      </c>
      <c r="R6" s="22" t="str">
        <f>IF('RKA Masse'!C14 &lt;&gt; "", CONCATENATE("MF ", ROW()-1),"")</f>
        <v/>
      </c>
      <c r="S6" t="str">
        <f>IF(R6 &lt;&gt; "", VLOOKUP('RKA Masse'!$Q$3, Tagessätze!$A$1:$P$10, 3,0),"")</f>
        <v/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</row>
    <row r="7" spans="1:39">
      <c r="A7" s="3" t="str">
        <f>IF(AND('Honorar ML'!B20 &lt;&gt; "", 'Honorar ML'!C20 &lt;&gt; ""),(HOUR('Honorar ML'!C20-'Honorar ML'!B20)*60+MINUTE('Honorar ML'!C20-'Honorar ML'!B20))/60, "")</f>
        <v/>
      </c>
      <c r="B7" s="3" t="str">
        <f>IF(AND('Honorar ML'!D20 &lt;&gt; "", 'Honorar ML'!E20 &lt;&gt; ""),(HOUR('Honorar ML'!E20-'Honorar ML'!D20)*60+MINUTE('Honorar ML'!E20-'Honorar ML'!D20))/60, "")</f>
        <v/>
      </c>
      <c r="C7" s="3" t="str">
        <f>IF(AND('Honorar ML'!F20 &lt;&gt; "", 'Honorar ML'!G20 &lt;&gt; ""),(HOUR('Honorar ML'!G20-'Honorar ML'!F20)*60+MINUTE('Honorar ML'!G20-'Honorar ML'!F20))/60, "")</f>
        <v/>
      </c>
      <c r="D7" s="3" t="str">
        <f t="shared" ref="D7:D17" si="0">IF(COUNT(A7:C7) &gt;0, SUM(A7:C7), "")</f>
        <v/>
      </c>
      <c r="R7" s="22" t="str">
        <f>IF('RKA Masse'!C15 &lt;&gt; "", CONCATENATE("MF ", ROW()-1),"")</f>
        <v/>
      </c>
      <c r="S7" t="str">
        <f>IF(R7 &lt;&gt; "", VLOOKUP('RKA Masse'!$Q$3, Tagessätze!$A$1:$P$10, 3,0),"")</f>
        <v/>
      </c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</row>
    <row r="8" spans="1:39">
      <c r="A8" s="3" t="str">
        <f>IF(AND('Honorar ML'!B21 &lt;&gt; "", 'Honorar ML'!C21 &lt;&gt; ""),(HOUR('Honorar ML'!C21-'Honorar ML'!B21)*60+MINUTE('Honorar ML'!C21-'Honorar ML'!B21))/60, "")</f>
        <v/>
      </c>
      <c r="B8" s="3" t="str">
        <f>IF(AND('Honorar ML'!D21 &lt;&gt; "", 'Honorar ML'!E21 &lt;&gt; ""),(HOUR('Honorar ML'!E21-'Honorar ML'!D21)*60+MINUTE('Honorar ML'!E21-'Honorar ML'!D21))/60, "")</f>
        <v/>
      </c>
      <c r="C8" s="3" t="str">
        <f>IF(AND('Honorar ML'!F21 &lt;&gt; "", 'Honorar ML'!G21 &lt;&gt; ""),(HOUR('Honorar ML'!G21-'Honorar ML'!F21)*60+MINUTE('Honorar ML'!G21-'Honorar ML'!F21))/60, "")</f>
        <v/>
      </c>
      <c r="D8" s="3" t="str">
        <f t="shared" si="0"/>
        <v/>
      </c>
      <c r="R8" s="22" t="str">
        <f>IF('RKA Masse'!C16 &lt;&gt; "", CONCATENATE("MF ", ROW()-1),"")</f>
        <v/>
      </c>
      <c r="S8" t="str">
        <f>IF(R8 &lt;&gt; "", VLOOKUP('RKA Masse'!$Q$3, Tagessätze!$A$1:$P$10, 3,0),"")</f>
        <v/>
      </c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</row>
    <row r="9" spans="1:39">
      <c r="A9" s="3" t="str">
        <f>IF(AND('Honorar ML'!B22 &lt;&gt; "", 'Honorar ML'!C22 &lt;&gt; ""),(HOUR('Honorar ML'!C22-'Honorar ML'!B22)*60+MINUTE('Honorar ML'!C22-'Honorar ML'!B22))/60, "")</f>
        <v/>
      </c>
      <c r="B9" s="3" t="str">
        <f>IF(AND('Honorar ML'!D22 &lt;&gt; "", 'Honorar ML'!E22 &lt;&gt; ""),(HOUR('Honorar ML'!E22-'Honorar ML'!D22)*60+MINUTE('Honorar ML'!E22-'Honorar ML'!D22))/60, "")</f>
        <v/>
      </c>
      <c r="C9" s="3" t="str">
        <f>IF(AND('Honorar ML'!F22 &lt;&gt; "", 'Honorar ML'!G22 &lt;&gt; ""),(HOUR('Honorar ML'!G22-'Honorar ML'!F22)*60+MINUTE('Honorar ML'!G22-'Honorar ML'!F22))/60, "")</f>
        <v/>
      </c>
      <c r="D9" s="3" t="str">
        <f t="shared" si="0"/>
        <v/>
      </c>
      <c r="R9" s="22" t="str">
        <f>IF('RKA Masse'!C29 &lt;&gt; "", CONCATENATE("MF ", ROW()-1),"")</f>
        <v/>
      </c>
      <c r="S9" t="str">
        <f>IF(R9 &lt;&gt; "", VLOOKUP('RKA Masse'!$Q$3, Tagessätze!$A$1:$P$10, 3,0),"")</f>
        <v/>
      </c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</row>
    <row r="10" spans="1:39">
      <c r="A10" s="3" t="str">
        <f>IF(AND('Honorar ML'!B23 &lt;&gt; "", 'Honorar ML'!C23 &lt;&gt; ""),(HOUR('Honorar ML'!C23-'Honorar ML'!B23)*60+MINUTE('Honorar ML'!C23-'Honorar ML'!B23))/60, "")</f>
        <v/>
      </c>
      <c r="B10" s="3" t="str">
        <f>IF(AND('Honorar ML'!D23 &lt;&gt; "", 'Honorar ML'!E23 &lt;&gt; ""),(HOUR('Honorar ML'!E23-'Honorar ML'!D23)*60+MINUTE('Honorar ML'!E23-'Honorar ML'!D23))/60, "")</f>
        <v/>
      </c>
      <c r="C10" s="3" t="str">
        <f>IF(AND('Honorar ML'!F23 &lt;&gt; "", 'Honorar ML'!G23 &lt;&gt; ""),(HOUR('Honorar ML'!G23-'Honorar ML'!F23)*60+MINUTE('Honorar ML'!G23-'Honorar ML'!F23))/60, "")</f>
        <v/>
      </c>
      <c r="D10" s="3" t="str">
        <f t="shared" si="0"/>
        <v/>
      </c>
      <c r="R10" s="22" t="str">
        <f>IF('RKA Masse'!C30 &lt;&gt; "", CONCATENATE("MF ", ROW()-1),"")</f>
        <v/>
      </c>
      <c r="S10" t="str">
        <f>IF(R10 &lt;&gt; "", VLOOKUP('RKA Masse'!$Q$3, Tagessätze!$A$1:$P$10, 3,0),"")</f>
        <v/>
      </c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</row>
    <row r="11" spans="1:39">
      <c r="A11" s="3" t="str">
        <f>IF(AND('Honorar ML'!B24 &lt;&gt; "", 'Honorar ML'!C24 &lt;&gt; ""),(HOUR('Honorar ML'!C24-'Honorar ML'!B24)*60+MINUTE('Honorar ML'!C24-'Honorar ML'!B24))/60, "")</f>
        <v/>
      </c>
      <c r="B11" s="3" t="str">
        <f>IF(AND('Honorar ML'!D24 &lt;&gt; "", 'Honorar ML'!E24 &lt;&gt; ""),(HOUR('Honorar ML'!E24-'Honorar ML'!D24)*60+MINUTE('Honorar ML'!E24-'Honorar ML'!D24))/60, "")</f>
        <v/>
      </c>
      <c r="C11" s="3" t="str">
        <f>IF(AND('Honorar ML'!F24 &lt;&gt; "", 'Honorar ML'!G24 &lt;&gt; ""),(HOUR('Honorar ML'!G24-'Honorar ML'!F24)*60+MINUTE('Honorar ML'!G24-'Honorar ML'!F24))/60, "")</f>
        <v/>
      </c>
      <c r="D11" s="3" t="str">
        <f t="shared" si="0"/>
        <v/>
      </c>
      <c r="R11" s="22" t="str">
        <f>IF('RKA Masse'!C31 &lt;&gt; "", CONCATENATE("MF ", ROW()-1),"")</f>
        <v/>
      </c>
      <c r="S11" t="str">
        <f>IF(R11 &lt;&gt; "", VLOOKUP('RKA Masse'!$Q$3, Tagessätze!$A$1:$P$10, 3,0),"")</f>
        <v/>
      </c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</row>
    <row r="12" spans="1:39">
      <c r="A12" s="3" t="str">
        <f>IF(AND('Honorar ML'!B25 &lt;&gt; "", 'Honorar ML'!C25 &lt;&gt; ""),(HOUR('Honorar ML'!C25-'Honorar ML'!B25)*60+MINUTE('Honorar ML'!C25-'Honorar ML'!B25))/60, "")</f>
        <v/>
      </c>
      <c r="B12" s="3" t="str">
        <f>IF(AND('Honorar ML'!D25 &lt;&gt; "", 'Honorar ML'!E25 &lt;&gt; ""),(HOUR('Honorar ML'!E25-'Honorar ML'!D25)*60+MINUTE('Honorar ML'!E25-'Honorar ML'!D25))/60, "")</f>
        <v/>
      </c>
      <c r="C12" s="3" t="str">
        <f>IF(AND('Honorar ML'!F25 &lt;&gt; "", 'Honorar ML'!G25 &lt;&gt; ""),(HOUR('Honorar ML'!G25-'Honorar ML'!F25)*60+MINUTE('Honorar ML'!G25-'Honorar ML'!F25))/60, "")</f>
        <v/>
      </c>
      <c r="D12" s="3" t="str">
        <f t="shared" si="0"/>
        <v/>
      </c>
      <c r="R12" s="22" t="str">
        <f>IF('RKA Masse'!C32 &lt;&gt; "", CONCATENATE("MF ", ROW()-1),"")</f>
        <v/>
      </c>
      <c r="S12" t="str">
        <f>IF(R12 &lt;&gt; "", VLOOKUP('RKA Masse'!$Q$3, Tagessätze!$A$1:$P$10, 3,0),"")</f>
        <v/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</row>
    <row r="13" spans="1:39">
      <c r="A13" s="3" t="str">
        <f>IF(AND('Honorar ML'!B26 &lt;&gt; "", 'Honorar ML'!C26 &lt;&gt; ""),(HOUR('Honorar ML'!C26-'Honorar ML'!B26)*60+MINUTE('Honorar ML'!C26-'Honorar ML'!B26))/60, "")</f>
        <v/>
      </c>
      <c r="B13" s="3" t="str">
        <f>IF(AND('Honorar ML'!D26 &lt;&gt; "", 'Honorar ML'!E26 &lt;&gt; ""),(HOUR('Honorar ML'!E26-'Honorar ML'!D26)*60+MINUTE('Honorar ML'!E26-'Honorar ML'!D26))/60, "")</f>
        <v/>
      </c>
      <c r="C13" s="3" t="str">
        <f>IF(AND('Honorar ML'!F26 &lt;&gt; "", 'Honorar ML'!G26 &lt;&gt; ""),(HOUR('Honorar ML'!G26-'Honorar ML'!F26)*60+MINUTE('Honorar ML'!G26-'Honorar ML'!F26))/60, "")</f>
        <v/>
      </c>
      <c r="D13" s="3" t="str">
        <f t="shared" si="0"/>
        <v/>
      </c>
      <c r="R13" s="22" t="str">
        <f>IF('RKA Masse'!C33 &lt;&gt; "", CONCATENATE("MF ", ROW()-1),"")</f>
        <v/>
      </c>
      <c r="S13" t="str">
        <f>IF(R13 &lt;&gt; "", VLOOKUP('RKA Masse'!$Q$3, Tagessätze!$A$1:$P$10, 3,0),"")</f>
        <v/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</row>
    <row r="14" spans="1:39">
      <c r="A14" s="3" t="str">
        <f>IF(AND('Honorar ML'!B27 &lt;&gt; "", 'Honorar ML'!C27 &lt;&gt; ""),(HOUR('Honorar ML'!C27-'Honorar ML'!B27)*60+MINUTE('Honorar ML'!C27-'Honorar ML'!B27))/60, "")</f>
        <v/>
      </c>
      <c r="B14" s="3" t="str">
        <f>IF(AND('Honorar ML'!D27 &lt;&gt; "", 'Honorar ML'!E27 &lt;&gt; ""),(HOUR('Honorar ML'!E27-'Honorar ML'!D27)*60+MINUTE('Honorar ML'!E27-'Honorar ML'!D27))/60, "")</f>
        <v/>
      </c>
      <c r="C14" s="3" t="str">
        <f>IF(AND('Honorar ML'!F27 &lt;&gt; "", 'Honorar ML'!G27 &lt;&gt; ""),(HOUR('Honorar ML'!G27-'Honorar ML'!F27)*60+MINUTE('Honorar ML'!G27-'Honorar ML'!F27))/60, "")</f>
        <v/>
      </c>
      <c r="D14" s="3" t="str">
        <f t="shared" si="0"/>
        <v/>
      </c>
      <c r="R14" s="22"/>
      <c r="S14" t="str">
        <f>IF(R14 &lt;&gt; "", VLOOKUP('RKA Masse'!$Q$3, Tagessätze!$A$1:$P$10, 3,0),"")</f>
        <v/>
      </c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</row>
    <row r="15" spans="1:39">
      <c r="A15" s="3" t="str">
        <f>IF(AND('Honorar ML'!B28 &lt;&gt; "", 'Honorar ML'!C28 &lt;&gt; ""),(HOUR('Honorar ML'!C28-'Honorar ML'!B28)*60+MINUTE('Honorar ML'!C28-'Honorar ML'!B28))/60, "")</f>
        <v/>
      </c>
      <c r="B15" s="3" t="str">
        <f>IF(AND('Honorar ML'!D28 &lt;&gt; "", 'Honorar ML'!E28 &lt;&gt; ""),(HOUR('Honorar ML'!E28-'Honorar ML'!D28)*60+MINUTE('Honorar ML'!E28-'Honorar ML'!D28))/60, "")</f>
        <v/>
      </c>
      <c r="C15" s="3" t="str">
        <f>IF(AND('Honorar ML'!F28 &lt;&gt; "", 'Honorar ML'!G28 &lt;&gt; ""),(HOUR('Honorar ML'!G28-'Honorar ML'!F28)*60+MINUTE('Honorar ML'!G28-'Honorar ML'!F28))/60, "")</f>
        <v/>
      </c>
      <c r="D15" s="3" t="str">
        <f t="shared" si="0"/>
        <v/>
      </c>
      <c r="R15" s="22"/>
      <c r="S15" t="str">
        <f>IF(R15 &lt;&gt; "", VLOOKUP('RKA Masse'!$Q$3, Tagessätze!$A$1:$P$10, 3,0),"")</f>
        <v/>
      </c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</row>
    <row r="16" spans="1:39">
      <c r="A16" s="3" t="str">
        <f>IF(AND('Honorar ML'!B29 &lt;&gt; "", 'Honorar ML'!C29 &lt;&gt; ""),(HOUR('Honorar ML'!C29-'Honorar ML'!B29)*60+MINUTE('Honorar ML'!C29-'Honorar ML'!B29))/60, "")</f>
        <v/>
      </c>
      <c r="B16" s="3" t="str">
        <f>IF(AND('Honorar ML'!D29 &lt;&gt; "", 'Honorar ML'!E29 &lt;&gt; ""),(HOUR('Honorar ML'!E29-'Honorar ML'!D29)*60+MINUTE('Honorar ML'!E29-'Honorar ML'!D29))/60, "")</f>
        <v/>
      </c>
      <c r="C16" s="3" t="str">
        <f>IF(AND('Honorar ML'!F29 &lt;&gt; "", 'Honorar ML'!G29 &lt;&gt; ""),(HOUR('Honorar ML'!G29-'Honorar ML'!F29)*60+MINUTE('Honorar ML'!G29-'Honorar ML'!F29))/60, "")</f>
        <v/>
      </c>
      <c r="D16" s="3" t="str">
        <f t="shared" si="0"/>
        <v/>
      </c>
      <c r="R16" s="22"/>
      <c r="S16" t="str">
        <f>IF(R16 &lt;&gt; "", VLOOKUP('RKA Masse'!$Q$3, Tagessätze!$A$1:$P$10, 3,0),"")</f>
        <v/>
      </c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</row>
    <row r="17" spans="1:39">
      <c r="A17" s="3" t="str">
        <f>IF(AND('Honorar ML'!B30 &lt;&gt; "", 'Honorar ML'!C30 &lt;&gt; ""),(HOUR('Honorar ML'!C30-'Honorar ML'!B30)*60+MINUTE('Honorar ML'!C30-'Honorar ML'!B30))/60, "")</f>
        <v/>
      </c>
      <c r="B17" s="3" t="str">
        <f>IF(AND('Honorar ML'!D30 &lt;&gt; "", 'Honorar ML'!E30 &lt;&gt; ""),(HOUR('Honorar ML'!E30-'Honorar ML'!D30)*60+MINUTE('Honorar ML'!E30-'Honorar ML'!D30))/60, "")</f>
        <v/>
      </c>
      <c r="C17" s="3" t="str">
        <f>IF(AND('Honorar ML'!F30 &lt;&gt; "", 'Honorar ML'!G30 &lt;&gt; ""),(HOUR('Honorar ML'!G30-'Honorar ML'!F30)*60+MINUTE('Honorar ML'!G30-'Honorar ML'!F30))/60, "")</f>
        <v/>
      </c>
      <c r="D17" s="3" t="str">
        <f t="shared" si="0"/>
        <v/>
      </c>
      <c r="R17" s="22"/>
      <c r="S17" t="str">
        <f>IF(R17 &lt;&gt; "", VLOOKUP('RKA Masse'!$Q$3, Tagessätze!$A$1:$P$10, 3,0),"")</f>
        <v/>
      </c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39">
      <c r="A18" s="3"/>
      <c r="B18" s="3"/>
      <c r="C18" s="3"/>
      <c r="D18" s="3"/>
      <c r="R18" s="22"/>
      <c r="S18" t="str">
        <f>IF(R18 &lt;&gt; "", VLOOKUP('RKA Masse'!$Q$3, Tagessätze!$A$1:$P$10, 3,0),"")</f>
        <v/>
      </c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</row>
    <row r="19" spans="1:39">
      <c r="A19" s="3"/>
      <c r="B19" s="3"/>
      <c r="C19" s="3"/>
      <c r="D19" s="3"/>
      <c r="H19" s="4"/>
      <c r="R19" s="22"/>
      <c r="S19" t="str">
        <f>IF(R19 &lt;&gt; "", VLOOKUP('RKA Masse'!$Q$3, Tagessätze!$A$1:$P$10, 3,0),"")</f>
        <v/>
      </c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</row>
    <row r="20" spans="1:39">
      <c r="A20" s="3"/>
      <c r="B20" s="3"/>
      <c r="C20" s="3"/>
      <c r="D20" s="3"/>
      <c r="R20" s="22"/>
      <c r="S20" t="str">
        <f>IF(R20 &lt;&gt; "", VLOOKUP('RKA Masse'!$Q$3, Tagessätze!$A$1:$P$10, 3,0),"")</f>
        <v/>
      </c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</row>
    <row r="21" spans="1:39">
      <c r="A21" s="3"/>
      <c r="B21" s="3"/>
      <c r="C21" s="3"/>
      <c r="D21" s="3"/>
      <c r="R21" s="22"/>
      <c r="S21" t="str">
        <f>IF(R21 &lt;&gt; "", VLOOKUP('RKA Masse'!$Q$3, Tagessätze!$A$1:$P$10, 3,0),"")</f>
        <v/>
      </c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</row>
    <row r="22" spans="1:39">
      <c r="A22" s="3"/>
      <c r="B22" s="3"/>
      <c r="C22" s="3"/>
      <c r="D22" s="3"/>
      <c r="R22" s="22"/>
      <c r="S22" t="str">
        <f>IF(R22 &lt;&gt; "", VLOOKUP('RKA Masse'!$Q$3, Tagessätze!$A$1:$P$10, 3,0),"")</f>
        <v/>
      </c>
    </row>
    <row r="23" spans="1:39">
      <c r="A23" s="3"/>
      <c r="B23" s="3"/>
      <c r="C23" s="3"/>
      <c r="D23" s="3"/>
      <c r="R23" s="22"/>
      <c r="S23" t="str">
        <f>IF(R23 &lt;&gt; "", VLOOKUP('RKA Masse'!$Q$3, Tagessätze!$A$1:$P$10, 3,0),"")</f>
        <v/>
      </c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</row>
    <row r="24" spans="1:39">
      <c r="A24" s="3"/>
      <c r="B24" s="3"/>
      <c r="C24" s="3"/>
      <c r="D24" s="3"/>
      <c r="R24" s="22"/>
      <c r="S24" t="str">
        <f>IF(R24 &lt;&gt; "", VLOOKUP('RKA Masse'!$Q$3, Tagessätze!$A$1:$P$10, 3,0),"")</f>
        <v/>
      </c>
    </row>
    <row r="25" spans="1:39">
      <c r="A25" s="3"/>
      <c r="B25" s="3"/>
      <c r="C25" s="3"/>
      <c r="D25" s="3"/>
      <c r="R25" s="22"/>
      <c r="S25" t="str">
        <f>IF(R25 &lt;&gt; "", VLOOKUP('RKA Masse'!$Q$3, Tagessätze!$A$1:$P$10, 3,0),"")</f>
        <v/>
      </c>
    </row>
    <row r="26" spans="1:39">
      <c r="A26" s="3"/>
      <c r="B26" s="3"/>
      <c r="C26" s="3"/>
      <c r="D26" s="3"/>
      <c r="R26" s="22" t="str">
        <f>IF('RKA Masse'!C34 &lt;&gt; "", CONCATENATE("MF ", ROW()-1),"")</f>
        <v/>
      </c>
      <c r="S26" t="str">
        <f>IF(R26 &lt;&gt; "", VLOOKUP('RKA Masse'!$Q$3, Tagessätze!$A$1:$P$10, 3,0),"")</f>
        <v/>
      </c>
    </row>
    <row r="27" spans="1:39">
      <c r="R27" s="22"/>
    </row>
  </sheetData>
  <sheetProtection algorithmName="SHA-512" hashValue="9GZqpfP9if2wwKWxCWGouiwsDJvEn82tZlSGPh/6jujDevUftdsfCaTj5nJ0rtsEU7ufbXeDcPBInsMyovOLMw==" saltValue="/nRPCSwoWlePoGr4e2O9QA==" spinCount="100000" sheet="1" selectLockedCells="1" selectUnlockedCells="1"/>
  <pageMargins left="0.78740157499999996" right="0.78740157499999996" top="0.984251969" bottom="0.984251969" header="0.4921259845" footer="0.4921259845"/>
  <pageSetup paperSize="9" orientation="landscape" horizontalDpi="0" verticalDpi="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2CF6E-353F-46C5-83BA-D444BFA9DDA8}">
  <sheetPr>
    <tabColor theme="0" tint="-0.249977111117893"/>
  </sheetPr>
  <dimension ref="A1:AM27"/>
  <sheetViews>
    <sheetView zoomScale="125" zoomScaleNormal="125" zoomScalePageLayoutView="125" workbookViewId="0">
      <selection activeCell="B2" sqref="B2"/>
    </sheetView>
  </sheetViews>
  <sheetFormatPr baseColWidth="10" defaultColWidth="10.85546875" defaultRowHeight="12.75"/>
  <cols>
    <col min="2" max="2" width="15.140625" customWidth="1"/>
    <col min="3" max="3" width="17.140625" customWidth="1"/>
    <col min="4" max="4" width="21.42578125" customWidth="1"/>
    <col min="5" max="5" width="15.140625" customWidth="1"/>
    <col min="6" max="6" width="11.85546875" customWidth="1"/>
    <col min="12" max="12" width="14.7109375" customWidth="1"/>
    <col min="13" max="13" width="20.7109375" customWidth="1"/>
    <col min="14" max="14" width="13.7109375" customWidth="1"/>
    <col min="15" max="15" width="21" customWidth="1"/>
    <col min="16" max="16" width="15.28515625" customWidth="1"/>
    <col min="17" max="17" width="17.140625" customWidth="1"/>
    <col min="19" max="19" width="26" customWidth="1"/>
  </cols>
  <sheetData>
    <row r="1" spans="1:39">
      <c r="A1" s="1" t="s">
        <v>39</v>
      </c>
      <c r="B1" s="1" t="s">
        <v>40</v>
      </c>
      <c r="C1" s="1" t="s">
        <v>41</v>
      </c>
      <c r="D1" s="1" t="s">
        <v>42</v>
      </c>
      <c r="E1" s="1" t="s">
        <v>43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48</v>
      </c>
      <c r="K1" s="1" t="s">
        <v>49</v>
      </c>
      <c r="L1" t="s">
        <v>65</v>
      </c>
      <c r="M1" t="s">
        <v>69</v>
      </c>
      <c r="N1" t="s">
        <v>66</v>
      </c>
      <c r="O1" t="s">
        <v>67</v>
      </c>
      <c r="P1" t="s">
        <v>68</v>
      </c>
      <c r="Q1" t="s">
        <v>74</v>
      </c>
      <c r="R1" s="22" t="s">
        <v>75</v>
      </c>
      <c r="S1" t="s">
        <v>95</v>
      </c>
    </row>
    <row r="2" spans="1:39">
      <c r="A2" s="3">
        <f>IF('RKA Einzel Assi'!J18 &gt; 'RKA Einzel Assi'!J20, "",IF('RKA Einzel Assi'!E18 = 'RKA Einzel Assi'!E20,MOD('RKA Einzel Assi'!J20-'RKA Einzel Assi'!J18,1)*24, ""))</f>
        <v>0</v>
      </c>
      <c r="B2" s="3" t="str">
        <f>IF('RKA Einzel Assi'!E18 &lt;&gt; 'RKA Einzel Assi'!E20,MOD(E2-'RKA Einzel Assi'!J18,1)*24, "")</f>
        <v/>
      </c>
      <c r="C2" s="3" t="str">
        <f>IF('RKA Einzel Assi'!E18 &lt;&gt; 'RKA Einzel Assi'!E20,MOD('RKA Einzel Assi'!J20-E2,1)*24, "")</f>
        <v/>
      </c>
      <c r="D2" s="2" t="str">
        <f>IF(AND('RKA Einzel Assi'!E18 &lt;&gt; 'RKA Einzel Assi'!E20,DATEDIF('RKA Einzel Assi'!E18,'RKA Einzel Assi'!E20,"d")-1 &lt;&gt; 0),DATEDIF('RKA Einzel Assi'!E18,'RKA Einzel Assi'!E20,"d")-1,"")</f>
        <v/>
      </c>
      <c r="E2" s="7">
        <v>0</v>
      </c>
      <c r="F2" s="5" t="str">
        <f>IF(AND($B2&gt;=6,$B2&lt;8,$C2&gt;=6,$C2&lt;8),2,IF(AND($B2&gt;=6,$B2&lt;8),1,IF(AND($C2&gt;=6,$C2&lt;8),1,"")))</f>
        <v/>
      </c>
      <c r="G2" s="5" t="str">
        <f>IF(AND($B2&gt;=8,$B2&lt;12,$C2&gt;=8,$C2&lt;12),2,IF(AND($B2&gt;=8,$B2&lt;12),1,IF(AND($C2&gt;=8,$C2&lt;12),1,"")))</f>
        <v/>
      </c>
      <c r="H2" s="8" t="str">
        <f>IF('RKA Einzel Assi'!E18 = 'RKA Einzel Assi'!E20, "",IF(AND(B2 &lt; 12, C2 &lt; 12, D2 = ""), "",IF(AND(B2 &lt; 12, C2 &lt; 12, D2 &lt;&gt; ""),D2,IF(AND($B2&gt;=12,$C2&gt;=12),2+IF(D2&lt;&gt;"",D2,0),IF($B2&gt;=12,1+IF(D2&lt;&gt;"",D2,0),IF($C2&gt;=12,1+IF(D2&lt;&gt;"",D2,0)))))))</f>
        <v/>
      </c>
      <c r="I2" s="9">
        <f>IF('RKA Einzel Assi'!$G58 = "x",(IF('RKA Einzel Assi'!$K$52 &lt;&gt; "", 'RKA Einzel Assi'!$K$52, 0)+IF('RKA Einzel Assi'!$K$54 &lt;&gt; "", 'RKA Einzel Assi'!$K$54, 0)+IF('RKA Einzel Assi'!$K$56 &lt;&gt; "", 'RKA Einzel Assi'!$K$56, 0))*'RKA Einzel Assi'!$H58,0)</f>
        <v>0</v>
      </c>
      <c r="J2" s="9">
        <f>IF('RKA Einzel Assi'!$G59 = "x",(IF('RKA Einzel Assi'!$K$52 &lt;&gt; "", 'RKA Einzel Assi'!$K$52, 0)+IF('RKA Einzel Assi'!$K$54 &lt;&gt; "", 'RKA Einzel Assi'!$K$54, 0)+IF('RKA Einzel Assi'!$K$56 &lt;&gt; "", 'RKA Einzel Assi'!$K$56, 0))*'RKA Einzel Assi'!$H59,0)</f>
        <v>0</v>
      </c>
      <c r="K2" s="9">
        <f>IF('RKA Einzel Assi'!$G60 = "x",(IF('RKA Einzel Assi'!$K$52 &lt;&gt; "", 'RKA Einzel Assi'!$K$52, 0)+IF('RKA Einzel Assi'!$K$54 &lt;&gt; "", 'RKA Einzel Assi'!$K$54, 0)+IF('RKA Einzel Assi'!$K$56 &lt;&gt; "", 'RKA Einzel Assi'!$K$56, 0))*'RKA Einzel Assi'!$H60,0)</f>
        <v>0</v>
      </c>
      <c r="L2" t="str">
        <f>IF(A2 = "",'RKA Einzel Assi'!K52+'RKA Einzel Assi'!K54+'RKA Einzel Assi'!K56,"")</f>
        <v/>
      </c>
      <c r="M2">
        <f>IF(AND($A$2="", 'RKA Einzel Assi'!$G58 = "x"),IF($B$2&gt;=12,VLOOKUP('RKA Einzel Assi'!$K$6,Tagessätze!$A$2:$P$9,9),IF($B$2&gt;=8,VLOOKUP('RKA Einzel Assi'!$K$6,Tagessätze!$A$2:$P$9,8),IF($B$2&gt;=6,VLOOKUP('RKA Einzel Assi'!$K$6,Tagessätze!$A$2:$P$9,7),0))),0)</f>
        <v>0</v>
      </c>
      <c r="N2" t="e">
        <f>($L$2-$M$2)*VLOOKUP('RKA Einzel Assi'!$K$6,Tagessätze!$A$2:$P$9,10)</f>
        <v>#VALUE!</v>
      </c>
      <c r="O2">
        <f>IF(AND($A$2="", 'RKA Einzel Assi'!$G60 = "x"),IF($C$2&gt;=12,VLOOKUP('RKA Einzel Assi'!$K$6,Tagessätze!$A$2:$P$9,9),IF($C$2&gt;=8,VLOOKUP('RKA Einzel Assi'!$K$6,Tagessätze!$A$2:$P$9,8),IF($C$2&gt;=6,VLOOKUP('RKA Einzel Assi'!$K$6,Tagessätze!$A$2:$P$9,7),0))),0)</f>
        <v>0</v>
      </c>
      <c r="P2" t="e">
        <f>($L$2-$O$2)*VLOOKUP('RKA Einzel Assi'!$K$6,Tagessätze!$A$2:$P$9,12)</f>
        <v>#VALUE!</v>
      </c>
      <c r="Q2">
        <f>IF('RKA Masse'!Q3 &lt;&gt; "", VLOOKUP('RKA Masse'!Q3, Tagessätze!A1:P10, 2,0),"")</f>
        <v>0.3</v>
      </c>
      <c r="R2" s="22" t="str">
        <f>IF('RKA Masse'!C10 &lt;&gt; "", CONCATENATE("MF ", ROW()-1),"")</f>
        <v/>
      </c>
      <c r="S2" t="str">
        <f>IF(R2 &lt;&gt; "", VLOOKUP('RKA Masse'!$Q$3, Tagessätze!$A$1:$P$10, 3,0),"")</f>
        <v/>
      </c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</row>
    <row r="3" spans="1:39">
      <c r="B3" s="2"/>
      <c r="E3" s="6"/>
      <c r="R3" s="22" t="str">
        <f>IF('RKA Masse'!C11 &lt;&gt; "", CONCATENATE("MF ", ROW()-1),"")</f>
        <v/>
      </c>
      <c r="S3" t="str">
        <f>IF(R3 &lt;&gt; "", VLOOKUP('RKA Masse'!$Q$3, Tagessätze!$A$1:$P$10, 3,0),"")</f>
        <v/>
      </c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</row>
    <row r="4" spans="1:39">
      <c r="R4" s="22" t="str">
        <f>IF('RKA Masse'!C12 &lt;&gt; "", CONCATENATE("MF ", ROW()-1),"")</f>
        <v/>
      </c>
      <c r="S4" t="str">
        <f>IF(R4 &lt;&gt; "", VLOOKUP('RKA Masse'!$Q$3, Tagessätze!$A$1:$P$10, 3,0),"")</f>
        <v/>
      </c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</row>
    <row r="5" spans="1:39">
      <c r="A5" t="s">
        <v>80</v>
      </c>
      <c r="B5" t="s">
        <v>93</v>
      </c>
      <c r="C5" t="s">
        <v>82</v>
      </c>
      <c r="D5" t="s">
        <v>70</v>
      </c>
      <c r="R5" s="22" t="str">
        <f>IF('RKA Masse'!C13 &lt;&gt; "", CONCATENATE("MF ", ROW()-1),"")</f>
        <v/>
      </c>
      <c r="S5" t="str">
        <f>IF(R5 &lt;&gt; "", VLOOKUP('RKA Masse'!$Q$3, Tagessätze!$A$1:$P$10, 3,0),"")</f>
        <v/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</row>
    <row r="6" spans="1:39">
      <c r="A6" s="3" t="str">
        <f>IF(AND('Honorar Assi'!B19 &lt;&gt; "", 'Honorar Assi'!C19 &lt;&gt; ""),(HOUR('Honorar Assi'!C19-'Honorar Assi'!B19)*60+MINUTE('Honorar Assi'!C19-'Honorar Assi'!B19))/60, "")</f>
        <v/>
      </c>
      <c r="B6" s="3" t="str">
        <f>IF(AND('Honorar Assi'!D19 &lt;&gt; "", 'Honorar Assi'!E19 &lt;&gt; ""),(HOUR('Honorar Assi'!E19-'Honorar Assi'!D19)*60+MINUTE('Honorar Assi'!E19-'Honorar Assi'!D19))/60, "")</f>
        <v/>
      </c>
      <c r="C6" s="3" t="str">
        <f>IF(AND('Honorar Assi'!F19 &lt;&gt; "", 'Honorar Assi'!G19 &lt;&gt; ""),(HOUR('Honorar Assi'!G19-'Honorar Assi'!F19)*60+MINUTE('Honorar Assi'!G19-'Honorar Assi'!F19))/60, "")</f>
        <v/>
      </c>
      <c r="D6" s="3" t="str">
        <f>IF(COUNT(A6:C6) &gt;0, SUM(A6:C6), "")</f>
        <v/>
      </c>
      <c r="R6" s="22" t="str">
        <f>IF('RKA Masse'!C14 &lt;&gt; "", CONCATENATE("MF ", ROW()-1),"")</f>
        <v/>
      </c>
      <c r="S6" t="str">
        <f>IF(R6 &lt;&gt; "", VLOOKUP('RKA Masse'!$Q$3, Tagessätze!$A$1:$P$10, 3,0),"")</f>
        <v/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</row>
    <row r="7" spans="1:39">
      <c r="A7" s="3" t="str">
        <f>IF(AND('Honorar Assi'!B20 &lt;&gt; "", 'Honorar Assi'!C20 &lt;&gt; ""),(HOUR('Honorar Assi'!C20-'Honorar Assi'!B20)*60+MINUTE('Honorar Assi'!C20-'Honorar Assi'!B20))/60, "")</f>
        <v/>
      </c>
      <c r="B7" s="3" t="str">
        <f>IF(AND('Honorar Assi'!D20 &lt;&gt; "", 'Honorar Assi'!E20 &lt;&gt; ""),(HOUR('Honorar Assi'!E20-'Honorar Assi'!D20)*60+MINUTE('Honorar Assi'!E20-'Honorar Assi'!D20))/60, "")</f>
        <v/>
      </c>
      <c r="C7" s="3" t="str">
        <f>IF(AND('Honorar Assi'!F20 &lt;&gt; "", 'Honorar Assi'!G20 &lt;&gt; ""),(HOUR('Honorar Assi'!G20-'Honorar Assi'!F20)*60+MINUTE('Honorar Assi'!G20-'Honorar Assi'!F20))/60, "")</f>
        <v/>
      </c>
      <c r="D7" s="3" t="str">
        <f t="shared" ref="D7:D17" si="0">IF(COUNT(A7:C7) &gt;0, SUM(A7:C7), "")</f>
        <v/>
      </c>
      <c r="R7" s="22" t="str">
        <f>IF('RKA Masse'!C15 &lt;&gt; "", CONCATENATE("MF ", ROW()-1),"")</f>
        <v/>
      </c>
      <c r="S7" t="str">
        <f>IF(R7 &lt;&gt; "", VLOOKUP('RKA Masse'!$Q$3, Tagessätze!$A$1:$P$10, 3,0),"")</f>
        <v/>
      </c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</row>
    <row r="8" spans="1:39">
      <c r="A8" s="3" t="str">
        <f>IF(AND('Honorar Assi'!B21 &lt;&gt; "", 'Honorar Assi'!C21 &lt;&gt; ""),(HOUR('Honorar Assi'!C21-'Honorar Assi'!B21)*60+MINUTE('Honorar Assi'!C21-'Honorar Assi'!B21))/60, "")</f>
        <v/>
      </c>
      <c r="B8" s="3" t="str">
        <f>IF(AND('Honorar Assi'!D21 &lt;&gt; "", 'Honorar Assi'!E21 &lt;&gt; ""),(HOUR('Honorar Assi'!E21-'Honorar Assi'!D21)*60+MINUTE('Honorar Assi'!E21-'Honorar Assi'!D21))/60, "")</f>
        <v/>
      </c>
      <c r="C8" s="3" t="str">
        <f>IF(AND('Honorar Assi'!F21 &lt;&gt; "", 'Honorar Assi'!G21 &lt;&gt; ""),(HOUR('Honorar Assi'!G21-'Honorar Assi'!F21)*60+MINUTE('Honorar Assi'!G21-'Honorar Assi'!F21))/60, "")</f>
        <v/>
      </c>
      <c r="D8" s="3" t="str">
        <f t="shared" si="0"/>
        <v/>
      </c>
      <c r="R8" s="22" t="str">
        <f>IF('RKA Masse'!C16 &lt;&gt; "", CONCATENATE("MF ", ROW()-1),"")</f>
        <v/>
      </c>
      <c r="S8" t="str">
        <f>IF(R8 &lt;&gt; "", VLOOKUP('RKA Masse'!$Q$3, Tagessätze!$A$1:$P$10, 3,0),"")</f>
        <v/>
      </c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</row>
    <row r="9" spans="1:39">
      <c r="A9" s="3" t="str">
        <f>IF(AND('Honorar Assi'!B22 &lt;&gt; "", 'Honorar Assi'!C22 &lt;&gt; ""),(HOUR('Honorar Assi'!C22-'Honorar Assi'!B22)*60+MINUTE('Honorar Assi'!C22-'Honorar Assi'!B22))/60, "")</f>
        <v/>
      </c>
      <c r="B9" s="3" t="str">
        <f>IF(AND('Honorar Assi'!D22 &lt;&gt; "", 'Honorar Assi'!E22 &lt;&gt; ""),(HOUR('Honorar Assi'!E22-'Honorar Assi'!D22)*60+MINUTE('Honorar Assi'!E22-'Honorar Assi'!D22))/60, "")</f>
        <v/>
      </c>
      <c r="C9" s="3" t="str">
        <f>IF(AND('Honorar Assi'!F22 &lt;&gt; "", 'Honorar Assi'!G22 &lt;&gt; ""),(HOUR('Honorar Assi'!G22-'Honorar Assi'!F22)*60+MINUTE('Honorar Assi'!G22-'Honorar Assi'!F22))/60, "")</f>
        <v/>
      </c>
      <c r="D9" s="3" t="str">
        <f t="shared" si="0"/>
        <v/>
      </c>
      <c r="R9" s="22" t="str">
        <f>IF('RKA Masse'!C29 &lt;&gt; "", CONCATENATE("MF ", ROW()-1),"")</f>
        <v/>
      </c>
      <c r="S9" t="str">
        <f>IF(R9 &lt;&gt; "", VLOOKUP('RKA Masse'!$Q$3, Tagessätze!$A$1:$P$10, 3,0),"")</f>
        <v/>
      </c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</row>
    <row r="10" spans="1:39">
      <c r="A10" s="3" t="str">
        <f>IF(AND('Honorar Assi'!B23 &lt;&gt; "", 'Honorar Assi'!C23 &lt;&gt; ""),(HOUR('Honorar Assi'!C23-'Honorar Assi'!B23)*60+MINUTE('Honorar Assi'!C23-'Honorar Assi'!B23))/60, "")</f>
        <v/>
      </c>
      <c r="B10" s="3" t="str">
        <f>IF(AND('Honorar Assi'!D23 &lt;&gt; "", 'Honorar Assi'!E23 &lt;&gt; ""),(HOUR('Honorar Assi'!E23-'Honorar Assi'!D23)*60+MINUTE('Honorar Assi'!E23-'Honorar Assi'!D23))/60, "")</f>
        <v/>
      </c>
      <c r="C10" s="3" t="str">
        <f>IF(AND('Honorar Assi'!F23 &lt;&gt; "", 'Honorar Assi'!G23 &lt;&gt; ""),(HOUR('Honorar Assi'!G23-'Honorar Assi'!F23)*60+MINUTE('Honorar Assi'!G23-'Honorar Assi'!F23))/60, "")</f>
        <v/>
      </c>
      <c r="D10" s="3" t="str">
        <f t="shared" si="0"/>
        <v/>
      </c>
      <c r="R10" s="22" t="str">
        <f>IF('RKA Masse'!C30 &lt;&gt; "", CONCATENATE("MF ", ROW()-1),"")</f>
        <v/>
      </c>
      <c r="S10" t="str">
        <f>IF(R10 &lt;&gt; "", VLOOKUP('RKA Masse'!$Q$3, Tagessätze!$A$1:$P$10, 3,0),"")</f>
        <v/>
      </c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</row>
    <row r="11" spans="1:39">
      <c r="A11" s="3" t="str">
        <f>IF(AND('Honorar Assi'!B24 &lt;&gt; "", 'Honorar Assi'!C24 &lt;&gt; ""),(HOUR('Honorar Assi'!C24-'Honorar Assi'!B24)*60+MINUTE('Honorar Assi'!C24-'Honorar Assi'!B24))/60, "")</f>
        <v/>
      </c>
      <c r="B11" s="3" t="str">
        <f>IF(AND('Honorar Assi'!D24 &lt;&gt; "", 'Honorar Assi'!E24 &lt;&gt; ""),(HOUR('Honorar Assi'!E24-'Honorar Assi'!D24)*60+MINUTE('Honorar Assi'!E24-'Honorar Assi'!D24))/60, "")</f>
        <v/>
      </c>
      <c r="C11" s="3" t="str">
        <f>IF(AND('Honorar Assi'!F24 &lt;&gt; "", 'Honorar Assi'!G24 &lt;&gt; ""),(HOUR('Honorar Assi'!G24-'Honorar Assi'!F24)*60+MINUTE('Honorar Assi'!G24-'Honorar Assi'!F24))/60, "")</f>
        <v/>
      </c>
      <c r="D11" s="3" t="str">
        <f t="shared" si="0"/>
        <v/>
      </c>
      <c r="R11" s="22" t="str">
        <f>IF('RKA Masse'!C31 &lt;&gt; "", CONCATENATE("MF ", ROW()-1),"")</f>
        <v/>
      </c>
      <c r="S11" t="str">
        <f>IF(R11 &lt;&gt; "", VLOOKUP('RKA Masse'!$Q$3, Tagessätze!$A$1:$P$10, 3,0),"")</f>
        <v/>
      </c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</row>
    <row r="12" spans="1:39">
      <c r="A12" s="3" t="str">
        <f>IF(AND('Honorar Assi'!B25 &lt;&gt; "", 'Honorar Assi'!C25 &lt;&gt; ""),(HOUR('Honorar Assi'!C25-'Honorar Assi'!B25)*60+MINUTE('Honorar Assi'!C25-'Honorar Assi'!B25))/60, "")</f>
        <v/>
      </c>
      <c r="B12" s="3" t="str">
        <f>IF(AND('Honorar Assi'!D25 &lt;&gt; "", 'Honorar Assi'!E25 &lt;&gt; ""),(HOUR('Honorar Assi'!E25-'Honorar Assi'!D25)*60+MINUTE('Honorar Assi'!E25-'Honorar Assi'!D25))/60, "")</f>
        <v/>
      </c>
      <c r="C12" s="3" t="str">
        <f>IF(AND('Honorar Assi'!F25 &lt;&gt; "", 'Honorar Assi'!G25 &lt;&gt; ""),(HOUR('Honorar Assi'!G25-'Honorar Assi'!F25)*60+MINUTE('Honorar Assi'!G25-'Honorar Assi'!F25))/60, "")</f>
        <v/>
      </c>
      <c r="D12" s="3" t="str">
        <f t="shared" si="0"/>
        <v/>
      </c>
      <c r="R12" s="22" t="str">
        <f>IF('RKA Masse'!C32 &lt;&gt; "", CONCATENATE("MF ", ROW()-1),"")</f>
        <v/>
      </c>
      <c r="S12" t="str">
        <f>IF(R12 &lt;&gt; "", VLOOKUP('RKA Masse'!$Q$3, Tagessätze!$A$1:$P$10, 3,0),"")</f>
        <v/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</row>
    <row r="13" spans="1:39">
      <c r="A13" s="3" t="str">
        <f>IF(AND('Honorar Assi'!B26 &lt;&gt; "", 'Honorar Assi'!C26 &lt;&gt; ""),(HOUR('Honorar Assi'!C26-'Honorar Assi'!B26)*60+MINUTE('Honorar Assi'!C26-'Honorar Assi'!B26))/60, "")</f>
        <v/>
      </c>
      <c r="B13" s="3" t="str">
        <f>IF(AND('Honorar Assi'!D26 &lt;&gt; "", 'Honorar Assi'!E26 &lt;&gt; ""),(HOUR('Honorar Assi'!E26-'Honorar Assi'!D26)*60+MINUTE('Honorar Assi'!E26-'Honorar Assi'!D26))/60, "")</f>
        <v/>
      </c>
      <c r="C13" s="3" t="str">
        <f>IF(AND('Honorar Assi'!F26 &lt;&gt; "", 'Honorar Assi'!G26 &lt;&gt; ""),(HOUR('Honorar Assi'!G26-'Honorar Assi'!F26)*60+MINUTE('Honorar Assi'!G26-'Honorar Assi'!F26))/60, "")</f>
        <v/>
      </c>
      <c r="D13" s="3" t="str">
        <f t="shared" si="0"/>
        <v/>
      </c>
      <c r="R13" s="22" t="str">
        <f>IF('RKA Masse'!C33 &lt;&gt; "", CONCATENATE("MF ", ROW()-1),"")</f>
        <v/>
      </c>
      <c r="S13" t="str">
        <f>IF(R13 &lt;&gt; "", VLOOKUP('RKA Masse'!$Q$3, Tagessätze!$A$1:$P$10, 3,0),"")</f>
        <v/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</row>
    <row r="14" spans="1:39">
      <c r="A14" s="3" t="str">
        <f>IF(AND('Honorar Assi'!B27 &lt;&gt; "", 'Honorar Assi'!C27 &lt;&gt; ""),(HOUR('Honorar Assi'!C27-'Honorar Assi'!B27)*60+MINUTE('Honorar Assi'!C27-'Honorar Assi'!B27))/60, "")</f>
        <v/>
      </c>
      <c r="B14" s="3" t="str">
        <f>IF(AND('Honorar Assi'!D27 &lt;&gt; "", 'Honorar Assi'!E27 &lt;&gt; ""),(HOUR('Honorar Assi'!E27-'Honorar Assi'!D27)*60+MINUTE('Honorar Assi'!E27-'Honorar Assi'!D27))/60, "")</f>
        <v/>
      </c>
      <c r="C14" s="3" t="str">
        <f>IF(AND('Honorar Assi'!F27 &lt;&gt; "", 'Honorar Assi'!G27 &lt;&gt; ""),(HOUR('Honorar Assi'!G27-'Honorar Assi'!F27)*60+MINUTE('Honorar Assi'!G27-'Honorar Assi'!F27))/60, "")</f>
        <v/>
      </c>
      <c r="D14" s="3" t="str">
        <f t="shared" si="0"/>
        <v/>
      </c>
      <c r="R14" s="22"/>
      <c r="S14" t="str">
        <f>IF(R14 &lt;&gt; "", VLOOKUP('RKA Masse'!$Q$3, Tagessätze!$A$1:$P$10, 3,0),"")</f>
        <v/>
      </c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</row>
    <row r="15" spans="1:39">
      <c r="A15" s="3" t="str">
        <f>IF(AND('Honorar Assi'!B28 &lt;&gt; "", 'Honorar Assi'!C28 &lt;&gt; ""),(HOUR('Honorar Assi'!C28-'Honorar Assi'!B28)*60+MINUTE('Honorar Assi'!C28-'Honorar Assi'!B28))/60, "")</f>
        <v/>
      </c>
      <c r="B15" s="3" t="str">
        <f>IF(AND('Honorar Assi'!D28 &lt;&gt; "", 'Honorar Assi'!E28 &lt;&gt; ""),(HOUR('Honorar Assi'!E28-'Honorar Assi'!D28)*60+MINUTE('Honorar Assi'!E28-'Honorar Assi'!D28))/60, "")</f>
        <v/>
      </c>
      <c r="C15" s="3" t="str">
        <f>IF(AND('Honorar Assi'!F28 &lt;&gt; "", 'Honorar Assi'!G28 &lt;&gt; ""),(HOUR('Honorar Assi'!G28-'Honorar Assi'!F28)*60+MINUTE('Honorar Assi'!G28-'Honorar Assi'!F28))/60, "")</f>
        <v/>
      </c>
      <c r="D15" s="3" t="str">
        <f t="shared" si="0"/>
        <v/>
      </c>
      <c r="R15" s="22"/>
      <c r="S15" t="str">
        <f>IF(R15 &lt;&gt; "", VLOOKUP('RKA Masse'!$Q$3, Tagessätze!$A$1:$P$10, 3,0),"")</f>
        <v/>
      </c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</row>
    <row r="16" spans="1:39">
      <c r="A16" s="3" t="str">
        <f>IF(AND('Honorar Assi'!B29 &lt;&gt; "", 'Honorar Assi'!C29 &lt;&gt; ""),(HOUR('Honorar Assi'!C29-'Honorar Assi'!B29)*60+MINUTE('Honorar Assi'!C29-'Honorar Assi'!B29))/60, "")</f>
        <v/>
      </c>
      <c r="B16" s="3" t="str">
        <f>IF(AND('Honorar Assi'!D29 &lt;&gt; "", 'Honorar Assi'!E29 &lt;&gt; ""),(HOUR('Honorar Assi'!E29-'Honorar Assi'!D29)*60+MINUTE('Honorar Assi'!E29-'Honorar Assi'!D29))/60, "")</f>
        <v/>
      </c>
      <c r="C16" s="3" t="str">
        <f>IF(AND('Honorar Assi'!F29 &lt;&gt; "", 'Honorar Assi'!G29 &lt;&gt; ""),(HOUR('Honorar Assi'!G29-'Honorar Assi'!F29)*60+MINUTE('Honorar Assi'!G29-'Honorar Assi'!F29))/60, "")</f>
        <v/>
      </c>
      <c r="D16" s="3" t="str">
        <f t="shared" si="0"/>
        <v/>
      </c>
      <c r="R16" s="22"/>
      <c r="S16" t="str">
        <f>IF(R16 &lt;&gt; "", VLOOKUP('RKA Masse'!$Q$3, Tagessätze!$A$1:$P$10, 3,0),"")</f>
        <v/>
      </c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</row>
    <row r="17" spans="1:39">
      <c r="A17" s="3" t="str">
        <f>IF(AND('Honorar Assi'!B30 &lt;&gt; "", 'Honorar Assi'!C30 &lt;&gt; ""),(HOUR('Honorar Assi'!C30-'Honorar Assi'!B30)*60+MINUTE('Honorar Assi'!C30-'Honorar Assi'!B30))/60, "")</f>
        <v/>
      </c>
      <c r="B17" s="3" t="str">
        <f>IF(AND('Honorar Assi'!D30 &lt;&gt; "", 'Honorar Assi'!E30 &lt;&gt; ""),(HOUR('Honorar Assi'!E30-'Honorar Assi'!D30)*60+MINUTE('Honorar Assi'!E30-'Honorar Assi'!D30))/60, "")</f>
        <v/>
      </c>
      <c r="C17" s="3" t="str">
        <f>IF(AND('Honorar Assi'!F30 &lt;&gt; "", 'Honorar Assi'!G30 &lt;&gt; ""),(HOUR('Honorar Assi'!G30-'Honorar Assi'!F30)*60+MINUTE('Honorar Assi'!G30-'Honorar Assi'!F30))/60, "")</f>
        <v/>
      </c>
      <c r="D17" s="3" t="str">
        <f t="shared" si="0"/>
        <v/>
      </c>
      <c r="R17" s="22"/>
      <c r="S17" t="str">
        <f>IF(R17 &lt;&gt; "", VLOOKUP('RKA Masse'!$Q$3, Tagessätze!$A$1:$P$10, 3,0),"")</f>
        <v/>
      </c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39">
      <c r="A18" s="3"/>
      <c r="B18" s="3"/>
      <c r="C18" s="3"/>
      <c r="D18" s="3"/>
      <c r="R18" s="22"/>
      <c r="S18" t="str">
        <f>IF(R18 &lt;&gt; "", VLOOKUP('RKA Masse'!$Q$3, Tagessätze!$A$1:$P$10, 3,0),"")</f>
        <v/>
      </c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</row>
    <row r="19" spans="1:39">
      <c r="A19" s="3"/>
      <c r="B19" s="3"/>
      <c r="C19" s="3"/>
      <c r="D19" s="3"/>
      <c r="H19" s="4"/>
      <c r="R19" s="22"/>
      <c r="S19" t="str">
        <f>IF(R19 &lt;&gt; "", VLOOKUP('RKA Masse'!$Q$3, Tagessätze!$A$1:$P$10, 3,0),"")</f>
        <v/>
      </c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</row>
    <row r="20" spans="1:39">
      <c r="A20" s="3"/>
      <c r="B20" s="3"/>
      <c r="C20" s="3"/>
      <c r="D20" s="3"/>
      <c r="R20" s="22"/>
      <c r="S20" t="str">
        <f>IF(R20 &lt;&gt; "", VLOOKUP('RKA Masse'!$Q$3, Tagessätze!$A$1:$P$10, 3,0),"")</f>
        <v/>
      </c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</row>
    <row r="21" spans="1:39">
      <c r="A21" s="3"/>
      <c r="B21" s="3"/>
      <c r="C21" s="3"/>
      <c r="D21" s="3"/>
      <c r="R21" s="22"/>
      <c r="S21" t="str">
        <f>IF(R21 &lt;&gt; "", VLOOKUP('RKA Masse'!$Q$3, Tagessätze!$A$1:$P$10, 3,0),"")</f>
        <v/>
      </c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</row>
    <row r="22" spans="1:39">
      <c r="A22" s="3"/>
      <c r="B22" s="3"/>
      <c r="C22" s="3"/>
      <c r="D22" s="3"/>
      <c r="R22" s="22"/>
      <c r="S22" t="str">
        <f>IF(R22 &lt;&gt; "", VLOOKUP('RKA Masse'!$Q$3, Tagessätze!$A$1:$P$10, 3,0),"")</f>
        <v/>
      </c>
    </row>
    <row r="23" spans="1:39">
      <c r="A23" s="3"/>
      <c r="B23" s="3"/>
      <c r="C23" s="3"/>
      <c r="D23" s="3"/>
      <c r="R23" s="22"/>
      <c r="S23" t="str">
        <f>IF(R23 &lt;&gt; "", VLOOKUP('RKA Masse'!$Q$3, Tagessätze!$A$1:$P$10, 3,0),"")</f>
        <v/>
      </c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</row>
    <row r="24" spans="1:39">
      <c r="A24" s="3"/>
      <c r="B24" s="3"/>
      <c r="C24" s="3"/>
      <c r="D24" s="3"/>
      <c r="R24" s="22"/>
      <c r="S24" t="str">
        <f>IF(R24 &lt;&gt; "", VLOOKUP('RKA Masse'!$Q$3, Tagessätze!$A$1:$P$10, 3,0),"")</f>
        <v/>
      </c>
    </row>
    <row r="25" spans="1:39">
      <c r="A25" s="3"/>
      <c r="B25" s="3"/>
      <c r="C25" s="3"/>
      <c r="D25" s="3"/>
      <c r="R25" s="22"/>
      <c r="S25" t="str">
        <f>IF(R25 &lt;&gt; "", VLOOKUP('RKA Masse'!$Q$3, Tagessätze!$A$1:$P$10, 3,0),"")</f>
        <v/>
      </c>
    </row>
    <row r="26" spans="1:39">
      <c r="A26" s="3"/>
      <c r="B26" s="3"/>
      <c r="C26" s="3"/>
      <c r="D26" s="3"/>
      <c r="R26" s="22" t="str">
        <f>IF('RKA Masse'!C34 &lt;&gt; "", CONCATENATE("MF ", ROW()-1),"")</f>
        <v/>
      </c>
      <c r="S26" t="str">
        <f>IF(R26 &lt;&gt; "", VLOOKUP('RKA Masse'!$Q$3, Tagessätze!$A$1:$P$10, 3,0),"")</f>
        <v/>
      </c>
    </row>
    <row r="27" spans="1:39">
      <c r="R27" s="22"/>
    </row>
  </sheetData>
  <sheetProtection algorithmName="SHA-512" hashValue="gcj1sGCk1DAiTbb4QXQZK36e4dA3chHRh3elmuN1DO1+DN682Hh5nQlcDLXwDzfqy7jrNeQCoNyIpbZ+q36LOA==" saltValue="QU9ztwL7kP1i90nTarBkGg==" spinCount="100000" sheet="1" selectLockedCells="1" selectUnlockedCells="1"/>
  <pageMargins left="0.78740157499999996" right="0.78740157499999996" top="0.984251969" bottom="0.984251969" header="0.4921259845" footer="0.4921259845"/>
  <pageSetup paperSize="9" orientation="landscape" horizontalDpi="0" verticalDpi="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>
    <tabColor theme="0" tint="-0.249977111117893"/>
  </sheetPr>
  <dimension ref="A1:Q9"/>
  <sheetViews>
    <sheetView workbookViewId="0">
      <selection activeCell="C3" sqref="C3"/>
    </sheetView>
  </sheetViews>
  <sheetFormatPr baseColWidth="10" defaultColWidth="10.85546875" defaultRowHeight="18"/>
  <cols>
    <col min="1" max="1" width="29.140625" style="11" customWidth="1"/>
    <col min="2" max="2" width="9.7109375" style="11" customWidth="1"/>
    <col min="3" max="3" width="20.140625" style="11" customWidth="1"/>
    <col min="4" max="4" width="11.140625" style="11" customWidth="1"/>
    <col min="5" max="6" width="11.28515625" style="11" customWidth="1"/>
    <col min="7" max="8" width="13.28515625" style="11" customWidth="1"/>
    <col min="9" max="9" width="14.42578125" style="11" customWidth="1"/>
    <col min="10" max="10" width="11.42578125" style="11" customWidth="1"/>
    <col min="11" max="11" width="13.7109375" style="11" customWidth="1"/>
    <col min="12" max="12" width="14" style="11" customWidth="1"/>
    <col min="13" max="17" width="37.28515625" style="11" customWidth="1"/>
    <col min="18" max="16384" width="10.85546875" style="11"/>
  </cols>
  <sheetData>
    <row r="1" spans="1:17">
      <c r="A1" s="11" t="s">
        <v>50</v>
      </c>
    </row>
    <row r="2" spans="1:17">
      <c r="A2" s="12" t="s">
        <v>51</v>
      </c>
      <c r="B2" s="12" t="s">
        <v>52</v>
      </c>
      <c r="C2" s="13" t="s">
        <v>53</v>
      </c>
      <c r="D2" s="12" t="s">
        <v>54</v>
      </c>
      <c r="E2" s="13" t="s">
        <v>55</v>
      </c>
      <c r="F2" s="13" t="s">
        <v>55</v>
      </c>
      <c r="G2" s="13" t="s">
        <v>44</v>
      </c>
      <c r="H2" s="13" t="s">
        <v>45</v>
      </c>
      <c r="I2" s="13" t="s">
        <v>46</v>
      </c>
      <c r="J2" s="13" t="s">
        <v>56</v>
      </c>
      <c r="K2" s="13" t="s">
        <v>57</v>
      </c>
      <c r="L2" s="13" t="s">
        <v>58</v>
      </c>
      <c r="M2" s="13" t="s">
        <v>59</v>
      </c>
      <c r="N2" s="13" t="s">
        <v>60</v>
      </c>
      <c r="O2" s="13" t="s">
        <v>61</v>
      </c>
      <c r="P2" s="13" t="s">
        <v>62</v>
      </c>
      <c r="Q2" s="13" t="s">
        <v>256</v>
      </c>
    </row>
    <row r="3" spans="1:17">
      <c r="A3" s="14" t="s">
        <v>63</v>
      </c>
      <c r="B3" s="15">
        <v>0.3</v>
      </c>
      <c r="C3" s="15">
        <v>0.02</v>
      </c>
      <c r="D3" s="15">
        <v>8</v>
      </c>
      <c r="E3" s="15">
        <v>12</v>
      </c>
      <c r="F3" s="15">
        <v>18</v>
      </c>
      <c r="G3" s="15">
        <v>8</v>
      </c>
      <c r="H3" s="15">
        <v>14</v>
      </c>
      <c r="I3" s="15">
        <v>24</v>
      </c>
      <c r="J3" s="16">
        <v>0.2</v>
      </c>
      <c r="K3" s="16">
        <v>0.4</v>
      </c>
      <c r="L3" s="16">
        <v>0.4</v>
      </c>
      <c r="M3" s="17" t="s">
        <v>96</v>
      </c>
      <c r="N3" s="17" t="s">
        <v>346</v>
      </c>
      <c r="O3" s="17">
        <v>80971</v>
      </c>
      <c r="P3" s="17" t="s">
        <v>64</v>
      </c>
      <c r="Q3" s="17" t="s">
        <v>257</v>
      </c>
    </row>
    <row r="4" spans="1:17">
      <c r="A4" s="18" t="s">
        <v>328</v>
      </c>
      <c r="B4" s="19">
        <v>0.3</v>
      </c>
      <c r="C4" s="19">
        <v>0.02</v>
      </c>
      <c r="D4" s="19">
        <v>8</v>
      </c>
      <c r="E4" s="19">
        <v>12</v>
      </c>
      <c r="F4" s="19">
        <v>18</v>
      </c>
      <c r="G4" s="19">
        <v>8</v>
      </c>
      <c r="H4" s="19">
        <v>14</v>
      </c>
      <c r="I4" s="19">
        <v>24</v>
      </c>
      <c r="J4" s="20">
        <v>0.2</v>
      </c>
      <c r="K4" s="20">
        <v>0.4</v>
      </c>
      <c r="L4" s="20">
        <v>0.4</v>
      </c>
      <c r="M4" s="18" t="s">
        <v>96</v>
      </c>
      <c r="N4" s="17" t="s">
        <v>346</v>
      </c>
      <c r="O4" s="17">
        <v>80971</v>
      </c>
      <c r="P4" s="18" t="s">
        <v>64</v>
      </c>
      <c r="Q4" s="18" t="s">
        <v>257</v>
      </c>
    </row>
    <row r="5" spans="1:17">
      <c r="A5" s="14" t="s">
        <v>332</v>
      </c>
      <c r="B5" s="15">
        <v>0.3</v>
      </c>
      <c r="C5" s="15">
        <v>0.02</v>
      </c>
      <c r="D5" s="15">
        <v>8</v>
      </c>
      <c r="E5" s="15">
        <v>12</v>
      </c>
      <c r="F5" s="15">
        <v>18</v>
      </c>
      <c r="G5" s="15">
        <v>8</v>
      </c>
      <c r="H5" s="15">
        <v>14</v>
      </c>
      <c r="I5" s="15">
        <v>24</v>
      </c>
      <c r="J5" s="16">
        <v>0.2</v>
      </c>
      <c r="K5" s="16">
        <v>0.4</v>
      </c>
      <c r="L5" s="16">
        <v>0.4</v>
      </c>
      <c r="M5" s="18" t="s">
        <v>96</v>
      </c>
      <c r="N5" s="17" t="s">
        <v>346</v>
      </c>
      <c r="O5" s="17">
        <v>80971</v>
      </c>
      <c r="P5" s="18" t="s">
        <v>64</v>
      </c>
      <c r="Q5" s="14" t="s">
        <v>257</v>
      </c>
    </row>
    <row r="6" spans="1:17">
      <c r="A6" s="18" t="s">
        <v>329</v>
      </c>
      <c r="B6" s="19">
        <v>0.3</v>
      </c>
      <c r="C6" s="19">
        <v>0.02</v>
      </c>
      <c r="D6" s="19">
        <v>8</v>
      </c>
      <c r="E6" s="19">
        <v>12</v>
      </c>
      <c r="F6" s="19">
        <v>18</v>
      </c>
      <c r="G6" s="19">
        <v>8</v>
      </c>
      <c r="H6" s="19">
        <v>14</v>
      </c>
      <c r="I6" s="19">
        <v>24</v>
      </c>
      <c r="J6" s="20">
        <v>0.2</v>
      </c>
      <c r="K6" s="20">
        <v>0.4</v>
      </c>
      <c r="L6" s="20">
        <v>0.4</v>
      </c>
      <c r="M6" s="18" t="s">
        <v>96</v>
      </c>
      <c r="N6" s="17" t="s">
        <v>346</v>
      </c>
      <c r="O6" s="17">
        <v>80971</v>
      </c>
      <c r="P6" s="18" t="s">
        <v>64</v>
      </c>
      <c r="Q6" s="21" t="s">
        <v>257</v>
      </c>
    </row>
    <row r="7" spans="1:17">
      <c r="A7" s="14" t="s">
        <v>331</v>
      </c>
      <c r="B7" s="15">
        <v>0.3</v>
      </c>
      <c r="C7" s="15">
        <v>0.02</v>
      </c>
      <c r="D7" s="15">
        <v>8</v>
      </c>
      <c r="E7" s="15">
        <v>12</v>
      </c>
      <c r="F7" s="15">
        <v>18</v>
      </c>
      <c r="G7" s="15">
        <v>8</v>
      </c>
      <c r="H7" s="15">
        <v>14</v>
      </c>
      <c r="I7" s="15">
        <v>24</v>
      </c>
      <c r="J7" s="16">
        <v>0.2</v>
      </c>
      <c r="K7" s="16">
        <v>0.4</v>
      </c>
      <c r="L7" s="16">
        <v>0.4</v>
      </c>
      <c r="M7" s="18" t="s">
        <v>96</v>
      </c>
      <c r="N7" s="17" t="s">
        <v>346</v>
      </c>
      <c r="O7" s="17">
        <v>80971</v>
      </c>
      <c r="P7" s="18" t="s">
        <v>64</v>
      </c>
      <c r="Q7" s="17" t="s">
        <v>257</v>
      </c>
    </row>
    <row r="8" spans="1:17">
      <c r="A8" s="18" t="s">
        <v>333</v>
      </c>
      <c r="B8" s="19">
        <v>0.3</v>
      </c>
      <c r="C8" s="19">
        <v>0.02</v>
      </c>
      <c r="D8" s="19">
        <v>8</v>
      </c>
      <c r="E8" s="19">
        <v>12</v>
      </c>
      <c r="F8" s="19">
        <v>18</v>
      </c>
      <c r="G8" s="19">
        <v>8</v>
      </c>
      <c r="H8" s="19">
        <v>14</v>
      </c>
      <c r="I8" s="19">
        <v>24</v>
      </c>
      <c r="J8" s="20">
        <v>0.2</v>
      </c>
      <c r="K8" s="20">
        <v>0.4</v>
      </c>
      <c r="L8" s="20">
        <v>0.4</v>
      </c>
      <c r="M8" s="18" t="s">
        <v>96</v>
      </c>
      <c r="N8" s="17" t="s">
        <v>346</v>
      </c>
      <c r="O8" s="17">
        <v>80971</v>
      </c>
      <c r="P8" s="18" t="s">
        <v>64</v>
      </c>
      <c r="Q8" s="21" t="s">
        <v>257</v>
      </c>
    </row>
    <row r="9" spans="1:17">
      <c r="A9" s="14" t="s">
        <v>330</v>
      </c>
      <c r="B9" s="15">
        <v>0.3</v>
      </c>
      <c r="C9" s="15">
        <v>0.02</v>
      </c>
      <c r="D9" s="15">
        <v>8</v>
      </c>
      <c r="E9" s="15">
        <v>12</v>
      </c>
      <c r="F9" s="15">
        <v>18</v>
      </c>
      <c r="G9" s="15">
        <v>8</v>
      </c>
      <c r="H9" s="15">
        <v>14</v>
      </c>
      <c r="I9" s="15">
        <v>24</v>
      </c>
      <c r="J9" s="16">
        <v>0.2</v>
      </c>
      <c r="K9" s="16">
        <v>0.4</v>
      </c>
      <c r="L9" s="16">
        <v>0.4</v>
      </c>
      <c r="M9" s="18" t="s">
        <v>96</v>
      </c>
      <c r="N9" s="17" t="s">
        <v>346</v>
      </c>
      <c r="O9" s="17">
        <v>80971</v>
      </c>
      <c r="P9" s="18" t="s">
        <v>64</v>
      </c>
      <c r="Q9" s="14" t="s">
        <v>257</v>
      </c>
    </row>
  </sheetData>
  <sheetProtection algorithmName="SHA-512" hashValue="FWodqPB2mzMqd8wvh3VSXw6qlmvpQDZWNa7z4WOdu+3UoI+VcehbFNKNgQK96ZxePpgaIC//Oa8xtehx8evmZw==" saltValue="JgRC0UznNo+Dd0BRF0SKWw==" spinCount="100000" sheet="1" selectLockedCells="1" selectUnlockedCells="1"/>
  <phoneticPr fontId="7" type="noConversion"/>
  <pageMargins left="0.7" right="0.7" top="0.78740157499999996" bottom="0.78740157499999996" header="0.3" footer="0.3"/>
  <pageSetup paperSize="9" orientation="portrait" horizontalDpi="300" verticalDpi="24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00B0F0"/>
    <pageSetUpPr fitToPage="1"/>
  </sheetPr>
  <dimension ref="A1:AD64"/>
  <sheetViews>
    <sheetView showGridLines="0" zoomScale="110" zoomScaleNormal="110" zoomScaleSheetLayoutView="140" workbookViewId="0">
      <selection activeCell="C20" sqref="C20"/>
    </sheetView>
  </sheetViews>
  <sheetFormatPr baseColWidth="10" defaultColWidth="10.85546875" defaultRowHeight="14.25"/>
  <cols>
    <col min="1" max="1" width="16.85546875" style="122" customWidth="1"/>
    <col min="2" max="7" width="6.85546875" style="122" customWidth="1"/>
    <col min="8" max="8" width="12.140625" style="122" customWidth="1"/>
    <col min="9" max="10" width="8.85546875" style="122" customWidth="1"/>
    <col min="11" max="11" width="7.7109375" style="192" customWidth="1"/>
    <col min="12" max="14" width="10.85546875" style="122"/>
    <col min="15" max="15" width="16.5703125" style="122" bestFit="1" customWidth="1"/>
    <col min="16" max="16384" width="10.85546875" style="122"/>
  </cols>
  <sheetData>
    <row r="1" spans="1:30" ht="5.0999999999999996" customHeight="1"/>
    <row r="2" spans="1:30" ht="37.5">
      <c r="A2" s="653" t="s">
        <v>78</v>
      </c>
      <c r="B2" s="653"/>
      <c r="C2" s="653"/>
      <c r="D2" s="653"/>
      <c r="E2" s="653"/>
      <c r="F2" s="653"/>
      <c r="G2" s="653"/>
      <c r="H2" s="653"/>
      <c r="I2" s="161"/>
      <c r="J2" s="161"/>
      <c r="K2" s="438"/>
    </row>
    <row r="3" spans="1:30">
      <c r="G3" s="417" t="str">
        <f>Deckblatt!K3</f>
        <v>BBV Form</v>
      </c>
      <c r="H3" s="418" t="str">
        <f>Deckblatt!L3</f>
        <v>01/2025</v>
      </c>
      <c r="I3" s="123"/>
    </row>
    <row r="4" spans="1:30" ht="3" customHeight="1"/>
    <row r="5" spans="1:30" ht="15.75" customHeight="1">
      <c r="A5" s="620" t="s">
        <v>324</v>
      </c>
      <c r="B5" s="621"/>
      <c r="C5" s="632"/>
      <c r="D5" s="633"/>
      <c r="E5" s="633"/>
      <c r="F5" s="633"/>
      <c r="G5" s="540"/>
      <c r="H5" s="634"/>
      <c r="J5" s="398" t="s">
        <v>174</v>
      </c>
      <c r="N5" s="163"/>
      <c r="O5" s="226"/>
      <c r="P5" s="226"/>
      <c r="Q5" s="226"/>
      <c r="R5" s="163"/>
    </row>
    <row r="6" spans="1:30" ht="15.75" customHeight="1">
      <c r="A6" s="622" t="s">
        <v>3</v>
      </c>
      <c r="B6" s="623"/>
      <c r="C6" s="624"/>
      <c r="D6" s="625"/>
      <c r="E6" s="625"/>
      <c r="F6" s="625"/>
      <c r="G6" s="626"/>
      <c r="H6" s="627"/>
      <c r="J6" s="233"/>
      <c r="N6" s="163"/>
      <c r="O6" s="226"/>
      <c r="P6" s="226"/>
      <c r="Q6" s="226"/>
      <c r="R6" s="163"/>
    </row>
    <row r="7" spans="1:30" ht="5.25" customHeight="1">
      <c r="G7" s="163"/>
      <c r="N7" s="163"/>
      <c r="O7" s="226"/>
      <c r="P7" s="226"/>
      <c r="Q7" s="226"/>
      <c r="R7" s="163"/>
    </row>
    <row r="8" spans="1:30" ht="3" customHeight="1">
      <c r="A8" s="234"/>
      <c r="B8" s="234"/>
      <c r="C8" s="234"/>
      <c r="D8" s="234"/>
      <c r="E8" s="234"/>
      <c r="F8" s="234"/>
      <c r="G8" s="234"/>
      <c r="H8" s="234"/>
      <c r="I8" s="234"/>
      <c r="J8" s="234"/>
      <c r="N8" s="163"/>
      <c r="O8" s="226"/>
      <c r="P8" s="226"/>
      <c r="Q8" s="226"/>
      <c r="R8" s="163"/>
    </row>
    <row r="9" spans="1:30" ht="6" customHeight="1">
      <c r="A9" s="235"/>
      <c r="B9" s="236"/>
      <c r="C9" s="236"/>
      <c r="D9" s="236"/>
      <c r="E9" s="236"/>
      <c r="F9" s="236"/>
      <c r="G9" s="236"/>
      <c r="H9" s="236"/>
      <c r="I9" s="236"/>
      <c r="J9" s="237"/>
      <c r="N9" s="163"/>
      <c r="O9" s="226"/>
      <c r="P9" s="226"/>
      <c r="Q9" s="226"/>
      <c r="R9" s="163"/>
    </row>
    <row r="10" spans="1:30" ht="15.75" customHeight="1">
      <c r="A10" s="238" t="s">
        <v>79</v>
      </c>
      <c r="B10" s="163"/>
      <c r="C10" s="163"/>
      <c r="D10" s="163"/>
      <c r="E10" s="163"/>
      <c r="F10" s="163"/>
      <c r="G10" s="163"/>
      <c r="H10" s="313" t="s">
        <v>51</v>
      </c>
      <c r="I10" s="663" t="s">
        <v>332</v>
      </c>
      <c r="J10" s="664"/>
      <c r="N10" s="163"/>
      <c r="O10" s="226"/>
      <c r="P10" s="226"/>
      <c r="Q10" s="226"/>
      <c r="R10" s="163"/>
      <c r="Y10" s="192"/>
      <c r="Z10" s="192"/>
      <c r="AA10" s="192"/>
    </row>
    <row r="11" spans="1:30" ht="6" customHeight="1">
      <c r="A11" s="238"/>
      <c r="B11" s="163"/>
      <c r="C11" s="163"/>
      <c r="D11" s="163"/>
      <c r="E11" s="163"/>
      <c r="F11" s="163"/>
      <c r="G11" s="163"/>
      <c r="H11" s="163"/>
      <c r="I11" s="163"/>
      <c r="J11" s="239"/>
      <c r="N11" s="163"/>
      <c r="O11" s="226"/>
      <c r="P11" s="226"/>
      <c r="Q11" s="226"/>
      <c r="R11" s="163"/>
      <c r="Y11" s="192"/>
      <c r="Z11" s="192"/>
      <c r="AA11" s="192"/>
    </row>
    <row r="12" spans="1:30" ht="15" customHeight="1">
      <c r="A12" s="628" t="s">
        <v>280</v>
      </c>
      <c r="B12" s="629"/>
      <c r="C12" s="630"/>
      <c r="D12" s="631" t="s">
        <v>63</v>
      </c>
      <c r="E12" s="631"/>
      <c r="F12" s="631"/>
      <c r="G12" s="631"/>
      <c r="H12" s="295" t="s">
        <v>270</v>
      </c>
      <c r="I12" s="645" t="s">
        <v>310</v>
      </c>
      <c r="J12" s="646"/>
      <c r="N12" s="163"/>
      <c r="O12" s="226"/>
      <c r="P12" s="226"/>
      <c r="Q12" s="226"/>
      <c r="R12" s="163"/>
      <c r="V12" s="163"/>
      <c r="W12" s="226"/>
      <c r="X12" s="226"/>
      <c r="Y12" s="412"/>
      <c r="Z12" s="411"/>
      <c r="AA12" s="192"/>
    </row>
    <row r="13" spans="1:30" ht="15.75" customHeight="1">
      <c r="A13" s="654"/>
      <c r="B13" s="655"/>
      <c r="C13" s="403"/>
      <c r="D13" s="403"/>
      <c r="E13" s="403"/>
      <c r="F13" s="403"/>
      <c r="G13" s="403"/>
      <c r="H13" s="404" t="s">
        <v>338</v>
      </c>
      <c r="I13" s="661" t="s">
        <v>326</v>
      </c>
      <c r="J13" s="662"/>
      <c r="V13" s="163"/>
      <c r="W13" s="226"/>
      <c r="X13" s="226"/>
      <c r="Y13" s="412"/>
      <c r="Z13" s="411"/>
      <c r="AA13" s="192"/>
    </row>
    <row r="14" spans="1:30" ht="15" customHeight="1">
      <c r="A14" s="643" t="s">
        <v>286</v>
      </c>
      <c r="B14" s="630"/>
      <c r="C14" s="644"/>
      <c r="D14" s="635" t="s">
        <v>413</v>
      </c>
      <c r="E14" s="635"/>
      <c r="F14" s="635"/>
      <c r="G14" s="635"/>
      <c r="H14" s="635"/>
      <c r="I14" s="635"/>
      <c r="J14" s="636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411"/>
      <c r="W14" s="412"/>
      <c r="X14" s="412"/>
      <c r="Y14" s="412"/>
      <c r="Z14" s="411"/>
      <c r="AA14" s="192"/>
      <c r="AB14" s="192"/>
      <c r="AC14" s="192"/>
      <c r="AD14" s="192"/>
    </row>
    <row r="15" spans="1:30" ht="15.75" customHeight="1">
      <c r="A15" s="293" t="s">
        <v>278</v>
      </c>
      <c r="B15" s="656" t="s">
        <v>408</v>
      </c>
      <c r="C15" s="656"/>
      <c r="D15" s="656"/>
      <c r="E15" s="294" t="s">
        <v>180</v>
      </c>
      <c r="F15" s="657" t="s">
        <v>409</v>
      </c>
      <c r="G15" s="657"/>
      <c r="H15" s="657"/>
      <c r="I15" s="657"/>
      <c r="J15" s="658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411"/>
      <c r="W15" s="412"/>
      <c r="X15" s="412"/>
      <c r="Y15" s="412"/>
      <c r="Z15" s="411"/>
      <c r="AA15" s="192"/>
      <c r="AB15" s="192"/>
      <c r="AC15" s="192"/>
      <c r="AD15" s="192"/>
    </row>
    <row r="16" spans="1:30" ht="3" customHeight="1">
      <c r="A16" s="240"/>
      <c r="B16" s="241"/>
      <c r="C16" s="241"/>
      <c r="D16" s="241"/>
      <c r="E16" s="241"/>
      <c r="F16" s="241"/>
      <c r="G16" s="241"/>
      <c r="H16" s="241"/>
      <c r="I16" s="241"/>
      <c r="J16" s="24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411"/>
      <c r="W16" s="412"/>
      <c r="X16" s="412"/>
      <c r="Y16" s="412"/>
      <c r="Z16" s="411"/>
      <c r="AA16" s="192"/>
      <c r="AB16" s="192"/>
      <c r="AC16" s="192"/>
      <c r="AD16" s="192"/>
    </row>
    <row r="17" spans="1:30">
      <c r="A17" s="243" t="s">
        <v>8</v>
      </c>
      <c r="B17" s="244" t="s">
        <v>80</v>
      </c>
      <c r="C17" s="245"/>
      <c r="D17" s="246" t="s">
        <v>81</v>
      </c>
      <c r="E17" s="245"/>
      <c r="F17" s="659" t="s">
        <v>82</v>
      </c>
      <c r="G17" s="660"/>
      <c r="H17" s="243" t="s">
        <v>83</v>
      </c>
      <c r="I17" s="659" t="s">
        <v>89</v>
      </c>
      <c r="J17" s="660"/>
      <c r="L17" s="192"/>
      <c r="M17" s="192"/>
      <c r="N17" s="192"/>
      <c r="O17" s="192" t="str">
        <f>IF(D12=S18,"Sonst",IF(D12=S20,"Sonst",IF(D12=S19,"Sonst","BBV")))</f>
        <v>BBV</v>
      </c>
      <c r="P17" s="432" t="str">
        <f>I13&amp;O17</f>
        <v>Referierende allg.BBV</v>
      </c>
      <c r="Q17" s="192"/>
      <c r="R17" s="192"/>
      <c r="S17" s="192" t="s">
        <v>63</v>
      </c>
      <c r="T17" s="192"/>
      <c r="U17" s="192"/>
      <c r="V17" s="411"/>
      <c r="W17" s="412" t="s">
        <v>258</v>
      </c>
      <c r="X17" s="412" t="s">
        <v>334</v>
      </c>
      <c r="Y17" s="412" t="s">
        <v>335</v>
      </c>
      <c r="Z17" s="411"/>
      <c r="AA17" s="192"/>
      <c r="AB17" s="192"/>
      <c r="AC17" s="192"/>
      <c r="AD17" s="192"/>
    </row>
    <row r="18" spans="1:30">
      <c r="A18" s="247" t="s">
        <v>1</v>
      </c>
      <c r="B18" s="248" t="s">
        <v>84</v>
      </c>
      <c r="C18" s="249" t="s">
        <v>85</v>
      </c>
      <c r="D18" s="250" t="s">
        <v>86</v>
      </c>
      <c r="E18" s="251" t="s">
        <v>87</v>
      </c>
      <c r="F18" s="250" t="s">
        <v>84</v>
      </c>
      <c r="G18" s="251" t="s">
        <v>85</v>
      </c>
      <c r="H18" s="252" t="s">
        <v>287</v>
      </c>
      <c r="I18" s="253" t="s">
        <v>73</v>
      </c>
      <c r="J18" s="254"/>
      <c r="L18" s="192"/>
      <c r="M18" s="192"/>
      <c r="N18" s="192"/>
      <c r="O18" s="192"/>
      <c r="P18" s="192"/>
      <c r="Q18" s="192"/>
      <c r="R18" s="192"/>
      <c r="S18" s="192" t="s">
        <v>201</v>
      </c>
      <c r="T18" s="192"/>
      <c r="U18" s="192"/>
      <c r="V18" s="411" t="s">
        <v>63</v>
      </c>
      <c r="W18" s="412"/>
      <c r="X18" s="412"/>
      <c r="Y18" s="412"/>
      <c r="Z18" s="411"/>
      <c r="AA18" s="192"/>
      <c r="AB18" s="192"/>
      <c r="AC18" s="192"/>
      <c r="AD18" s="192"/>
    </row>
    <row r="19" spans="1:30">
      <c r="A19" s="255"/>
      <c r="B19" s="256"/>
      <c r="C19" s="257"/>
      <c r="D19" s="258"/>
      <c r="E19" s="259"/>
      <c r="F19" s="258"/>
      <c r="G19" s="259"/>
      <c r="H19" s="262" t="str">
        <f>IF('Hilfsblatt ML'!D6 &lt;&gt; "", 'Hilfsblatt ML'!D6, "")</f>
        <v/>
      </c>
      <c r="I19" s="260" t="str">
        <f>IF(AND($I$35 &lt;&gt; "", H19 &lt;&gt; "", $I$36 &lt;&gt; ""), IF($I$36 &lt; H19*$I$35,$I$36, H19*$I$35 ),"")</f>
        <v/>
      </c>
      <c r="J19" s="260" t="str">
        <f>IF(AND(I19 &gt; 0, I19 = $I$36), "Tagessatz", "")</f>
        <v/>
      </c>
      <c r="K19" s="433" t="str">
        <f>IF(AND($I$12="Schiedsrichter*in",A19&lt;&gt;""),10,"")</f>
        <v/>
      </c>
      <c r="L19" s="192"/>
      <c r="M19" s="192"/>
      <c r="N19" s="192"/>
      <c r="O19" s="192"/>
      <c r="P19" s="192"/>
      <c r="Q19" s="192"/>
      <c r="R19" s="192"/>
      <c r="S19" s="192" t="s">
        <v>264</v>
      </c>
      <c r="T19" s="192"/>
      <c r="U19" s="192"/>
      <c r="V19" s="411" t="s">
        <v>328</v>
      </c>
      <c r="W19" s="412">
        <v>0</v>
      </c>
      <c r="X19" s="412">
        <v>35</v>
      </c>
      <c r="Y19" s="412">
        <v>70</v>
      </c>
      <c r="Z19" s="411" t="str">
        <f>IF($I$10=$V$19,"sonst",IF($I$10=$V$20,"sonst",IF($I$10=$V$21,"sonst",IF($I$10=$V$22,"sonst",IF($I$10=$V$23,"sonst",IF($I$10=$V$24,"sonst","BBV"))))))</f>
        <v>sonst</v>
      </c>
      <c r="AA19" s="192"/>
      <c r="AB19" s="192"/>
      <c r="AC19" s="192"/>
      <c r="AD19" s="192"/>
    </row>
    <row r="20" spans="1:30">
      <c r="A20" s="261"/>
      <c r="B20" s="258"/>
      <c r="C20" s="259"/>
      <c r="D20" s="258"/>
      <c r="E20" s="259"/>
      <c r="F20" s="258"/>
      <c r="G20" s="259"/>
      <c r="H20" s="262" t="str">
        <f>IF('Hilfsblatt ML'!D7 &lt;&gt; "", 'Hilfsblatt ML'!D7, "")</f>
        <v/>
      </c>
      <c r="I20" s="260" t="str">
        <f t="shared" ref="I20:I30" si="0">IF(AND($I$35 &lt;&gt; "", H20 &lt;&gt; "", $I$36 &lt;&gt; ""), IF($I$36 &lt; H20*$I$35,$I$36, H20*$I$35 ),"")</f>
        <v/>
      </c>
      <c r="J20" s="260" t="str">
        <f t="shared" ref="J20:J30" si="1">IF(AND(I20 &gt;0, I20 = $I$36), "Tagessatz", "")</f>
        <v/>
      </c>
      <c r="K20" s="433" t="str">
        <f t="shared" ref="K20:K30" si="2">IF(AND($I$12="Schiedsrichter*in",A20&lt;&gt;""),10,"")</f>
        <v/>
      </c>
      <c r="L20" s="192"/>
      <c r="M20" s="192"/>
      <c r="N20" s="192"/>
      <c r="O20" s="192" t="str">
        <f>IF(I12="Maßnahmenleitung","5","6")</f>
        <v>6</v>
      </c>
      <c r="P20" s="192"/>
      <c r="Q20" s="192"/>
      <c r="R20" s="192"/>
      <c r="S20" s="192" t="s">
        <v>204</v>
      </c>
      <c r="T20" s="192"/>
      <c r="U20" s="192"/>
      <c r="V20" s="411" t="s">
        <v>329</v>
      </c>
      <c r="W20" s="412">
        <v>0</v>
      </c>
      <c r="X20" s="412">
        <v>35</v>
      </c>
      <c r="Y20" s="412">
        <v>70</v>
      </c>
      <c r="Z20" s="411"/>
      <c r="AA20" s="192"/>
      <c r="AB20" s="192"/>
      <c r="AC20" s="192"/>
      <c r="AD20" s="192"/>
    </row>
    <row r="21" spans="1:30">
      <c r="A21" s="263"/>
      <c r="B21" s="258"/>
      <c r="C21" s="259"/>
      <c r="D21" s="258"/>
      <c r="E21" s="259"/>
      <c r="F21" s="258"/>
      <c r="G21" s="259"/>
      <c r="H21" s="262" t="str">
        <f>IF('Hilfsblatt ML'!D8 &lt;&gt; "", 'Hilfsblatt ML'!D8, "")</f>
        <v/>
      </c>
      <c r="I21" s="260" t="str">
        <f t="shared" si="0"/>
        <v/>
      </c>
      <c r="J21" s="260" t="str">
        <f t="shared" si="1"/>
        <v/>
      </c>
      <c r="K21" s="433" t="str">
        <f t="shared" si="2"/>
        <v/>
      </c>
      <c r="L21" s="192"/>
      <c r="M21" s="192"/>
      <c r="N21" s="192"/>
      <c r="O21" s="192"/>
      <c r="P21" s="192"/>
      <c r="Q21" s="192"/>
      <c r="R21" s="192"/>
      <c r="S21" s="192" t="s">
        <v>202</v>
      </c>
      <c r="T21" s="192"/>
      <c r="U21" s="192"/>
      <c r="V21" s="411" t="s">
        <v>330</v>
      </c>
      <c r="W21" s="412">
        <v>0</v>
      </c>
      <c r="X21" s="412">
        <v>35</v>
      </c>
      <c r="Y21" s="412">
        <v>70</v>
      </c>
      <c r="Z21" s="411"/>
      <c r="AA21" s="192"/>
      <c r="AB21" s="192"/>
      <c r="AC21" s="192"/>
      <c r="AD21" s="192"/>
    </row>
    <row r="22" spans="1:30">
      <c r="A22" s="263"/>
      <c r="B22" s="258"/>
      <c r="C22" s="259"/>
      <c r="D22" s="258"/>
      <c r="E22" s="259"/>
      <c r="F22" s="258"/>
      <c r="G22" s="259"/>
      <c r="H22" s="262" t="str">
        <f>IF('Hilfsblatt ML'!D9 &lt;&gt; "", 'Hilfsblatt ML'!D9, "")</f>
        <v/>
      </c>
      <c r="I22" s="260" t="str">
        <f t="shared" si="0"/>
        <v/>
      </c>
      <c r="J22" s="260" t="str">
        <f t="shared" si="1"/>
        <v/>
      </c>
      <c r="K22" s="433" t="str">
        <f t="shared" si="2"/>
        <v/>
      </c>
      <c r="L22" s="192"/>
      <c r="M22" s="192"/>
      <c r="N22" s="192"/>
      <c r="O22" s="192"/>
      <c r="P22" s="192"/>
      <c r="Q22" s="192"/>
      <c r="R22" s="192"/>
      <c r="S22" s="192" t="s">
        <v>203</v>
      </c>
      <c r="T22" s="192"/>
      <c r="U22" s="192"/>
      <c r="V22" s="411" t="s">
        <v>331</v>
      </c>
      <c r="W22" s="412">
        <v>0</v>
      </c>
      <c r="X22" s="412">
        <v>35</v>
      </c>
      <c r="Y22" s="412">
        <v>70</v>
      </c>
      <c r="Z22" s="411"/>
      <c r="AA22" s="192"/>
      <c r="AB22" s="192"/>
      <c r="AC22" s="192"/>
      <c r="AD22" s="192"/>
    </row>
    <row r="23" spans="1:30">
      <c r="A23" s="263"/>
      <c r="B23" s="258"/>
      <c r="C23" s="259"/>
      <c r="D23" s="258"/>
      <c r="E23" s="259"/>
      <c r="F23" s="258"/>
      <c r="G23" s="259"/>
      <c r="H23" s="262" t="str">
        <f>IF('Hilfsblatt ML'!D10 &lt;&gt; "", 'Hilfsblatt ML'!D10, "")</f>
        <v/>
      </c>
      <c r="I23" s="260" t="str">
        <f t="shared" si="0"/>
        <v/>
      </c>
      <c r="J23" s="260" t="str">
        <f t="shared" si="1"/>
        <v/>
      </c>
      <c r="K23" s="433" t="str">
        <f t="shared" si="2"/>
        <v/>
      </c>
      <c r="L23" s="192"/>
      <c r="M23" s="192"/>
      <c r="N23" s="192"/>
      <c r="O23" s="192"/>
      <c r="P23" s="192"/>
      <c r="Q23" s="192"/>
      <c r="R23" s="192"/>
      <c r="S23" s="192" t="s">
        <v>200</v>
      </c>
      <c r="T23" s="192"/>
      <c r="U23" s="192"/>
      <c r="V23" s="411" t="s">
        <v>332</v>
      </c>
      <c r="W23" s="412">
        <v>0</v>
      </c>
      <c r="X23" s="412">
        <v>35</v>
      </c>
      <c r="Y23" s="412">
        <v>70</v>
      </c>
      <c r="Z23" s="411"/>
      <c r="AA23" s="192"/>
      <c r="AB23" s="192"/>
      <c r="AC23" s="192"/>
      <c r="AD23" s="192"/>
    </row>
    <row r="24" spans="1:30">
      <c r="A24" s="263"/>
      <c r="B24" s="258"/>
      <c r="C24" s="259"/>
      <c r="D24" s="258"/>
      <c r="E24" s="259"/>
      <c r="F24" s="258"/>
      <c r="G24" s="259"/>
      <c r="H24" s="262" t="str">
        <f>IF('Hilfsblatt ML'!D11 &lt;&gt; "", 'Hilfsblatt ML'!D11, "")</f>
        <v/>
      </c>
      <c r="I24" s="260" t="str">
        <f t="shared" si="0"/>
        <v/>
      </c>
      <c r="J24" s="260" t="str">
        <f t="shared" si="1"/>
        <v/>
      </c>
      <c r="K24" s="433" t="str">
        <f t="shared" si="2"/>
        <v/>
      </c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411" t="s">
        <v>333</v>
      </c>
      <c r="W24" s="412">
        <v>0</v>
      </c>
      <c r="X24" s="412">
        <v>35</v>
      </c>
      <c r="Y24" s="412">
        <v>70</v>
      </c>
      <c r="Z24" s="411"/>
      <c r="AA24" s="192"/>
      <c r="AB24" s="192"/>
      <c r="AC24" s="192"/>
      <c r="AD24" s="192"/>
    </row>
    <row r="25" spans="1:30">
      <c r="A25" s="263"/>
      <c r="B25" s="258"/>
      <c r="C25" s="259"/>
      <c r="D25" s="258"/>
      <c r="E25" s="259"/>
      <c r="F25" s="258"/>
      <c r="G25" s="259"/>
      <c r="H25" s="262" t="str">
        <f>IF('Hilfsblatt ML'!D12 &lt;&gt; "", 'Hilfsblatt ML'!D12, "")</f>
        <v/>
      </c>
      <c r="I25" s="260" t="str">
        <f t="shared" si="0"/>
        <v/>
      </c>
      <c r="J25" s="260" t="str">
        <f t="shared" si="1"/>
        <v/>
      </c>
      <c r="K25" s="433" t="str">
        <f t="shared" si="2"/>
        <v/>
      </c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</row>
    <row r="26" spans="1:30">
      <c r="A26" s="263"/>
      <c r="B26" s="258"/>
      <c r="C26" s="259"/>
      <c r="D26" s="258"/>
      <c r="E26" s="259"/>
      <c r="F26" s="258"/>
      <c r="G26" s="259"/>
      <c r="H26" s="262" t="str">
        <f>IF('Hilfsblatt ML'!D13 &lt;&gt; "", 'Hilfsblatt ML'!D13, "")</f>
        <v/>
      </c>
      <c r="I26" s="260" t="str">
        <f t="shared" si="0"/>
        <v/>
      </c>
      <c r="J26" s="260" t="str">
        <f t="shared" si="1"/>
        <v/>
      </c>
      <c r="K26" s="433" t="str">
        <f t="shared" si="2"/>
        <v/>
      </c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411" t="s">
        <v>258</v>
      </c>
      <c r="W26" s="412" t="s">
        <v>63</v>
      </c>
      <c r="X26" s="412" t="str">
        <f>W26&amp;V26</f>
        <v>BBVnein</v>
      </c>
      <c r="Y26" s="431">
        <v>0</v>
      </c>
      <c r="Z26" s="192"/>
      <c r="AA26" s="192"/>
      <c r="AB26" s="192"/>
      <c r="AC26" s="192"/>
      <c r="AD26" s="192"/>
    </row>
    <row r="27" spans="1:30">
      <c r="A27" s="263"/>
      <c r="B27" s="258"/>
      <c r="C27" s="259"/>
      <c r="D27" s="258"/>
      <c r="E27" s="259"/>
      <c r="F27" s="258"/>
      <c r="G27" s="259"/>
      <c r="H27" s="262" t="str">
        <f>IF('Hilfsblatt ML'!D14 &lt;&gt; "", 'Hilfsblatt ML'!D14, "")</f>
        <v/>
      </c>
      <c r="I27" s="260" t="str">
        <f t="shared" si="0"/>
        <v/>
      </c>
      <c r="J27" s="260" t="str">
        <f t="shared" si="1"/>
        <v/>
      </c>
      <c r="K27" s="433" t="str">
        <f t="shared" si="2"/>
        <v/>
      </c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411" t="s">
        <v>334</v>
      </c>
      <c r="W27" s="412" t="s">
        <v>63</v>
      </c>
      <c r="X27" s="412" t="str">
        <f t="shared" ref="X27:X33" si="3">W27&amp;V27</f>
        <v>BBVja, 1 Tag</v>
      </c>
      <c r="Y27" s="431">
        <v>35</v>
      </c>
      <c r="Z27" s="192"/>
      <c r="AA27" s="192"/>
      <c r="AB27" s="192"/>
      <c r="AC27" s="192"/>
      <c r="AD27" s="192"/>
    </row>
    <row r="28" spans="1:30">
      <c r="A28" s="263"/>
      <c r="B28" s="258"/>
      <c r="C28" s="259"/>
      <c r="D28" s="258"/>
      <c r="E28" s="264"/>
      <c r="F28" s="265"/>
      <c r="G28" s="264"/>
      <c r="H28" s="262" t="str">
        <f>IF('Hilfsblatt ML'!D15 &lt;&gt; "", 'Hilfsblatt ML'!D15, "")</f>
        <v/>
      </c>
      <c r="I28" s="260" t="str">
        <f t="shared" si="0"/>
        <v/>
      </c>
      <c r="J28" s="260" t="str">
        <f t="shared" si="1"/>
        <v/>
      </c>
      <c r="K28" s="433" t="str">
        <f t="shared" si="2"/>
        <v/>
      </c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411" t="s">
        <v>335</v>
      </c>
      <c r="W28" s="412" t="s">
        <v>63</v>
      </c>
      <c r="X28" s="412" t="str">
        <f t="shared" si="3"/>
        <v>BBVja, 2 Tage</v>
      </c>
      <c r="Y28" s="431">
        <v>70</v>
      </c>
      <c r="Z28" s="192"/>
      <c r="AA28" s="192"/>
      <c r="AB28" s="192"/>
      <c r="AC28" s="192"/>
      <c r="AD28" s="192"/>
    </row>
    <row r="29" spans="1:30">
      <c r="A29" s="263"/>
      <c r="B29" s="258"/>
      <c r="C29" s="259"/>
      <c r="D29" s="258"/>
      <c r="E29" s="259"/>
      <c r="F29" s="266"/>
      <c r="G29" s="264"/>
      <c r="H29" s="267" t="str">
        <f>IF('Hilfsblatt ML'!D16 &lt;&gt; "", 'Hilfsblatt ML'!D16, "")</f>
        <v/>
      </c>
      <c r="I29" s="260" t="str">
        <f t="shared" si="0"/>
        <v/>
      </c>
      <c r="J29" s="260" t="str">
        <f t="shared" si="1"/>
        <v/>
      </c>
      <c r="K29" s="433" t="str">
        <f t="shared" si="2"/>
        <v/>
      </c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411"/>
      <c r="W29" s="412"/>
      <c r="X29" s="412" t="str">
        <f t="shared" si="3"/>
        <v/>
      </c>
      <c r="Y29" s="412"/>
      <c r="Z29" s="192"/>
      <c r="AA29" s="192"/>
      <c r="AB29" s="192"/>
      <c r="AC29" s="192"/>
      <c r="AD29" s="192"/>
    </row>
    <row r="30" spans="1:30">
      <c r="A30" s="268"/>
      <c r="B30" s="269"/>
      <c r="C30" s="270"/>
      <c r="D30" s="271"/>
      <c r="E30" s="272"/>
      <c r="F30" s="273"/>
      <c r="G30" s="274"/>
      <c r="H30" s="267" t="str">
        <f>IF('Hilfsblatt ML'!D17 &lt;&gt; "", 'Hilfsblatt ML'!D17, "")</f>
        <v/>
      </c>
      <c r="I30" s="260" t="str">
        <f t="shared" si="0"/>
        <v/>
      </c>
      <c r="J30" s="260" t="str">
        <f t="shared" si="1"/>
        <v/>
      </c>
      <c r="K30" s="433" t="str">
        <f t="shared" si="2"/>
        <v/>
      </c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411" t="s">
        <v>258</v>
      </c>
      <c r="W30" s="412" t="s">
        <v>336</v>
      </c>
      <c r="X30" s="412" t="str">
        <f t="shared" si="3"/>
        <v>sonstnein</v>
      </c>
      <c r="Y30" s="431">
        <v>0</v>
      </c>
      <c r="Z30" s="192"/>
      <c r="AA30" s="192"/>
      <c r="AB30" s="192"/>
      <c r="AC30" s="192"/>
      <c r="AD30" s="192"/>
    </row>
    <row r="31" spans="1:30" ht="13.5" customHeight="1" thickBot="1">
      <c r="A31" s="275" t="s">
        <v>172</v>
      </c>
      <c r="B31" s="276"/>
      <c r="C31" s="276"/>
      <c r="D31" s="276"/>
      <c r="E31" s="277"/>
      <c r="F31" s="641" t="s">
        <v>90</v>
      </c>
      <c r="G31" s="642"/>
      <c r="H31" s="278" t="str">
        <f>IF(COUNT(H19:H30) &gt; 0, SUM(H19:H30), "")</f>
        <v/>
      </c>
      <c r="I31" s="279" t="s">
        <v>91</v>
      </c>
      <c r="J31" s="280" t="str">
        <f>IF(COUNT(I19:I30) &gt; 0, SUM(I19:I30), "")</f>
        <v/>
      </c>
      <c r="K31" s="439">
        <f>IF(COUNT(K19:KJ30) &gt; 0, SUM(K19:K30), "")</f>
        <v>0</v>
      </c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411" t="s">
        <v>334</v>
      </c>
      <c r="W31" s="412" t="s">
        <v>336</v>
      </c>
      <c r="X31" s="412" t="str">
        <f t="shared" si="3"/>
        <v>sonstja, 1 Tag</v>
      </c>
      <c r="Y31" s="431">
        <v>35</v>
      </c>
      <c r="Z31" s="192"/>
      <c r="AA31" s="192"/>
      <c r="AB31" s="192"/>
      <c r="AC31" s="192"/>
      <c r="AD31" s="192"/>
    </row>
    <row r="32" spans="1:30" ht="10.5" customHeight="1" thickTop="1">
      <c r="A32" s="275"/>
      <c r="B32" s="276"/>
      <c r="C32" s="276"/>
      <c r="D32" s="276"/>
      <c r="E32" s="276"/>
      <c r="F32" s="171"/>
      <c r="G32" s="171"/>
      <c r="H32" s="437" t="str">
        <f>IF($I$12="Schiedsrichter*in","Anteil des BBV","")</f>
        <v/>
      </c>
      <c r="I32" s="435"/>
      <c r="J32" s="436" t="str">
        <f>IF($I$12="Schiedsrichter*in",J31-K31,"")</f>
        <v/>
      </c>
      <c r="K32" s="434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411"/>
      <c r="W32" s="412"/>
      <c r="X32" s="412"/>
      <c r="Y32" s="431"/>
      <c r="Z32" s="192"/>
      <c r="AA32" s="192"/>
      <c r="AB32" s="192"/>
      <c r="AC32" s="192"/>
      <c r="AD32" s="192"/>
    </row>
    <row r="33" spans="1:30" ht="9.75" customHeight="1">
      <c r="A33" s="275"/>
      <c r="B33" s="276"/>
      <c r="C33" s="276"/>
      <c r="D33" s="276"/>
      <c r="E33" s="276"/>
      <c r="F33" s="164"/>
      <c r="G33" s="171"/>
      <c r="H33" s="437" t="str">
        <f>IF($I$12="Schiedsrichter*in","Anteil des Bezirks","")</f>
        <v/>
      </c>
      <c r="I33" s="437" t="str">
        <f>IF(I12="Schiedsrichter*in",I10,"")</f>
        <v/>
      </c>
      <c r="J33" s="436" t="str">
        <f>IF($I$12="Schiedsrichter*in",K31,"")</f>
        <v/>
      </c>
      <c r="K33" s="191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411" t="s">
        <v>335</v>
      </c>
      <c r="W33" s="412" t="s">
        <v>336</v>
      </c>
      <c r="X33" s="412" t="str">
        <f t="shared" si="3"/>
        <v>sonstja, 2 Tage</v>
      </c>
      <c r="Y33" s="431">
        <v>70</v>
      </c>
      <c r="Z33" s="192"/>
      <c r="AA33" s="192"/>
      <c r="AB33" s="192"/>
      <c r="AC33" s="192"/>
      <c r="AD33" s="192"/>
    </row>
    <row r="34" spans="1:30" ht="3" customHeight="1">
      <c r="A34" s="234"/>
      <c r="B34" s="234"/>
      <c r="C34" s="234"/>
      <c r="D34" s="234"/>
      <c r="E34" s="234"/>
      <c r="F34" s="234"/>
      <c r="G34" s="281"/>
      <c r="H34" s="234"/>
      <c r="I34" s="234"/>
      <c r="J34" s="234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</row>
    <row r="35" spans="1:30" ht="12.95" customHeight="1">
      <c r="A35" s="651" t="s">
        <v>88</v>
      </c>
      <c r="B35" s="651"/>
      <c r="C35" s="651"/>
      <c r="D35" s="651"/>
      <c r="E35" s="651"/>
      <c r="F35" s="570"/>
      <c r="G35" s="282" t="s">
        <v>92</v>
      </c>
      <c r="H35" s="282"/>
      <c r="I35" s="442">
        <f>VLOOKUP(P17,Honorarsätze!C24:H36,4,0)</f>
        <v>30</v>
      </c>
      <c r="J35" s="283" t="s">
        <v>73</v>
      </c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</row>
    <row r="36" spans="1:30" ht="12.95" customHeight="1">
      <c r="A36" s="652"/>
      <c r="B36" s="570"/>
      <c r="C36" s="570"/>
      <c r="D36" s="570"/>
      <c r="E36" s="570"/>
      <c r="F36" s="570"/>
      <c r="G36" s="282" t="s">
        <v>179</v>
      </c>
      <c r="H36" s="282"/>
      <c r="I36" s="442">
        <f>IF(I12="Maßnahmenleitung",VLOOKUP(P17,Honorarsätze!C24:H36,O20,0),IF(I12="Assistenz",VLOOKUP(P17,Honorarsätze!C24:H36,O20,0),IF(I12="Schiedsrichter*in",IF(Z19="sonst",35,35),125)))</f>
        <v>125</v>
      </c>
      <c r="J36" s="282" t="s">
        <v>73</v>
      </c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</row>
    <row r="37" spans="1:30" ht="3" customHeight="1">
      <c r="A37" s="234"/>
      <c r="B37" s="234"/>
      <c r="C37" s="234"/>
      <c r="D37" s="234"/>
      <c r="E37" s="234"/>
      <c r="F37" s="284"/>
      <c r="G37" s="285"/>
      <c r="H37" s="286"/>
      <c r="I37" s="286"/>
      <c r="J37" s="285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</row>
    <row r="38" spans="1:30" ht="12.95" customHeight="1">
      <c r="A38" s="122" t="str">
        <f>CONCATENATE("Der Gesamtbetrag von ",IF(AND(J31="",I36=""),"          €",IF(AND(F36="x",I36&lt;&gt;""),CONCATENATE(I36," €"),TEXT(J31,"##0,00 €"))), " ist auf o.g. Konto zu überweisen.")</f>
        <v>Der Gesamtbetrag von  ist auf o.g. Konto zu überweisen.</v>
      </c>
      <c r="F38" s="287"/>
      <c r="G38" s="288"/>
      <c r="H38" s="288"/>
      <c r="I38" s="288"/>
      <c r="J38" s="288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</row>
    <row r="39" spans="1:30" ht="3" customHeight="1">
      <c r="A39" s="234"/>
      <c r="B39" s="234"/>
      <c r="C39" s="234"/>
      <c r="D39" s="234"/>
      <c r="E39" s="234"/>
      <c r="F39" s="289"/>
      <c r="G39" s="286"/>
      <c r="H39" s="286"/>
      <c r="I39" s="286"/>
      <c r="J39" s="286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</row>
    <row r="40" spans="1:30" ht="12.95" customHeight="1">
      <c r="A40" s="649" t="s">
        <v>106</v>
      </c>
      <c r="B40" s="649"/>
      <c r="C40" s="649"/>
      <c r="D40" s="649"/>
      <c r="E40" s="649"/>
      <c r="F40" s="650"/>
      <c r="G40" s="647" t="s">
        <v>100</v>
      </c>
      <c r="H40" s="648"/>
      <c r="I40" s="648"/>
      <c r="J40" s="648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</row>
    <row r="41" spans="1:30" ht="12.95" customHeight="1">
      <c r="A41" s="638" t="s">
        <v>259</v>
      </c>
      <c r="B41" s="639"/>
      <c r="C41" s="639"/>
      <c r="D41" s="639"/>
      <c r="E41" s="639"/>
      <c r="F41" s="640"/>
      <c r="G41" s="618" t="s">
        <v>102</v>
      </c>
      <c r="H41" s="619"/>
      <c r="I41" s="637" t="s">
        <v>104</v>
      </c>
      <c r="J41" s="619"/>
    </row>
    <row r="42" spans="1:30" ht="12.95" customHeight="1">
      <c r="A42" s="648" t="s">
        <v>94</v>
      </c>
      <c r="B42" s="648"/>
      <c r="C42" s="648"/>
      <c r="D42" s="648"/>
      <c r="E42" s="648"/>
      <c r="F42" s="668"/>
      <c r="G42" s="665" t="s">
        <v>103</v>
      </c>
      <c r="H42" s="639"/>
      <c r="I42" s="638" t="s">
        <v>105</v>
      </c>
      <c r="J42" s="666"/>
    </row>
    <row r="43" spans="1:30" ht="12.95" customHeight="1">
      <c r="A43" s="667" t="s">
        <v>98</v>
      </c>
      <c r="B43" s="667"/>
      <c r="C43" s="667"/>
      <c r="D43" s="667"/>
      <c r="E43" s="667"/>
      <c r="F43" s="290" t="s">
        <v>77</v>
      </c>
      <c r="G43" s="669" t="s">
        <v>77</v>
      </c>
      <c r="H43" s="670"/>
      <c r="I43" s="671" t="s">
        <v>77</v>
      </c>
      <c r="J43" s="672"/>
    </row>
    <row r="44" spans="1:30" ht="12.95" customHeight="1">
      <c r="A44" s="667" t="s">
        <v>99</v>
      </c>
      <c r="B44" s="667"/>
      <c r="C44" s="667"/>
      <c r="D44" s="667"/>
      <c r="E44" s="667"/>
      <c r="F44" s="290" t="s">
        <v>19</v>
      </c>
      <c r="G44" s="683" t="s">
        <v>77</v>
      </c>
      <c r="H44" s="672"/>
      <c r="I44" s="673" t="s">
        <v>77</v>
      </c>
      <c r="J44" s="674"/>
    </row>
    <row r="45" spans="1:30" ht="3" customHeight="1">
      <c r="A45" s="234"/>
      <c r="B45" s="234"/>
      <c r="C45" s="234"/>
      <c r="D45" s="234"/>
      <c r="E45" s="234"/>
      <c r="F45" s="234"/>
      <c r="G45" s="234"/>
      <c r="H45" s="234"/>
      <c r="I45" s="234"/>
      <c r="J45" s="234"/>
    </row>
    <row r="46" spans="1:30" ht="5.0999999999999996" customHeight="1"/>
    <row r="47" spans="1:30" ht="6.75" customHeight="1">
      <c r="B47" s="291"/>
      <c r="C47" s="291"/>
      <c r="D47" s="291"/>
      <c r="E47" s="291"/>
    </row>
    <row r="48" spans="1:30" ht="12.75" customHeight="1">
      <c r="A48" s="291" t="s">
        <v>101</v>
      </c>
      <c r="B48" s="291"/>
      <c r="C48" s="291"/>
      <c r="D48" s="291"/>
      <c r="E48" s="291"/>
      <c r="G48" s="685" t="s">
        <v>195</v>
      </c>
      <c r="H48" s="686"/>
      <c r="I48" s="686"/>
      <c r="J48" s="687"/>
    </row>
    <row r="49" spans="1:10">
      <c r="A49" s="291" t="s">
        <v>285</v>
      </c>
      <c r="B49" s="291"/>
      <c r="C49" s="291"/>
      <c r="D49" s="291"/>
      <c r="E49" s="291"/>
      <c r="G49" s="688" t="s">
        <v>404</v>
      </c>
      <c r="H49" s="689"/>
      <c r="I49" s="689"/>
      <c r="J49" s="690"/>
    </row>
    <row r="50" spans="1:10">
      <c r="A50" s="675"/>
      <c r="B50" s="675"/>
      <c r="C50" s="675"/>
      <c r="D50" s="675"/>
      <c r="G50" s="677"/>
      <c r="H50" s="678"/>
      <c r="I50" s="678"/>
      <c r="J50" s="679"/>
    </row>
    <row r="51" spans="1:10">
      <c r="A51" s="675"/>
      <c r="B51" s="675"/>
      <c r="C51" s="675"/>
      <c r="D51" s="675"/>
      <c r="G51" s="677"/>
      <c r="H51" s="678"/>
      <c r="I51" s="678"/>
      <c r="J51" s="679"/>
    </row>
    <row r="52" spans="1:10">
      <c r="A52" s="675"/>
      <c r="B52" s="675"/>
      <c r="C52" s="675"/>
      <c r="D52" s="675"/>
      <c r="E52" s="522"/>
      <c r="G52" s="680"/>
      <c r="H52" s="681"/>
      <c r="I52" s="681"/>
      <c r="J52" s="682"/>
    </row>
    <row r="53" spans="1:10">
      <c r="A53" s="676" t="s">
        <v>260</v>
      </c>
      <c r="B53" s="676"/>
      <c r="C53" s="676"/>
      <c r="D53" s="676"/>
      <c r="E53" s="521"/>
      <c r="G53" s="691" t="s">
        <v>403</v>
      </c>
      <c r="H53" s="692"/>
      <c r="I53" s="692"/>
      <c r="J53" s="693"/>
    </row>
    <row r="55" spans="1:10">
      <c r="G55" s="684"/>
      <c r="H55" s="684"/>
      <c r="I55" s="684"/>
      <c r="J55" s="684"/>
    </row>
    <row r="56" spans="1:10">
      <c r="G56" s="684"/>
      <c r="H56" s="684"/>
      <c r="I56" s="684"/>
      <c r="J56" s="684"/>
    </row>
    <row r="57" spans="1:10">
      <c r="G57" s="581"/>
      <c r="H57" s="581"/>
      <c r="I57" s="581"/>
      <c r="J57" s="581"/>
    </row>
    <row r="63" spans="1:10">
      <c r="H63" s="292"/>
    </row>
    <row r="64" spans="1:10">
      <c r="H64" s="163"/>
    </row>
  </sheetData>
  <sheetProtection algorithmName="SHA-512" hashValue="joCC9qH31ee+1oB6V9ZdM1e0WKVqPyo/Z3nIif7pfOo1iKEya0KVOE++zUaYNIaVX49q7PUimzW6QQVnDso8Uw==" saltValue="pDKuzz+IEydJ1zYRoIe4kw==" spinCount="100000" sheet="1" selectLockedCells="1"/>
  <mergeCells count="42">
    <mergeCell ref="A50:D52"/>
    <mergeCell ref="A53:D53"/>
    <mergeCell ref="G50:J52"/>
    <mergeCell ref="G57:J57"/>
    <mergeCell ref="G44:H44"/>
    <mergeCell ref="G55:J56"/>
    <mergeCell ref="G48:J48"/>
    <mergeCell ref="G49:J49"/>
    <mergeCell ref="G53:J53"/>
    <mergeCell ref="G42:H42"/>
    <mergeCell ref="I42:J42"/>
    <mergeCell ref="A44:E44"/>
    <mergeCell ref="A43:E43"/>
    <mergeCell ref="A42:F42"/>
    <mergeCell ref="G43:H43"/>
    <mergeCell ref="I43:J43"/>
    <mergeCell ref="I44:J44"/>
    <mergeCell ref="A36:F36"/>
    <mergeCell ref="A2:H2"/>
    <mergeCell ref="A13:B13"/>
    <mergeCell ref="B15:D15"/>
    <mergeCell ref="F15:J15"/>
    <mergeCell ref="F17:G17"/>
    <mergeCell ref="I17:J17"/>
    <mergeCell ref="I13:J13"/>
    <mergeCell ref="I10:J10"/>
    <mergeCell ref="G41:H41"/>
    <mergeCell ref="A5:B5"/>
    <mergeCell ref="A6:B6"/>
    <mergeCell ref="C6:H6"/>
    <mergeCell ref="A12:C12"/>
    <mergeCell ref="D12:G12"/>
    <mergeCell ref="C5:H5"/>
    <mergeCell ref="D14:J14"/>
    <mergeCell ref="I41:J41"/>
    <mergeCell ref="A41:F41"/>
    <mergeCell ref="F31:G31"/>
    <mergeCell ref="A14:C14"/>
    <mergeCell ref="I12:J12"/>
    <mergeCell ref="G40:J40"/>
    <mergeCell ref="A40:F40"/>
    <mergeCell ref="A35:F35"/>
  </mergeCells>
  <phoneticPr fontId="7" type="noConversion"/>
  <dataValidations count="5">
    <dataValidation type="list" allowBlank="1" showInputMessage="1" showErrorMessage="1" sqref="I43:I44 F43:G44" xr:uid="{00000000-0002-0000-0100-000000000000}">
      <formula1>"x,o"</formula1>
    </dataValidation>
    <dataValidation type="list" allowBlank="1" showInputMessage="1" showErrorMessage="1" sqref="I12:J12" xr:uid="{00000000-0002-0000-0100-000001000000}">
      <formula1>"bitte wählen, Maßnahmenleitung, Assistenz, Turnierausschuss, Schiedsrichter*in, Referee"</formula1>
    </dataValidation>
    <dataValidation type="list" allowBlank="1" showInputMessage="1" showErrorMessage="1" sqref="C13" xr:uid="{00000000-0002-0000-0100-000002000000}">
      <formula1>"Diplom-Trainer*in, A-Trainer*in, B-Trainer*in, C-Trainer*in, andere*r Trainer*in, Dozent*in SR GLG"</formula1>
    </dataValidation>
    <dataValidation type="list" allowBlank="1" showInputMessage="1" showErrorMessage="1" sqref="I13:J13" xr:uid="{63DDA05E-4D48-4CF2-9D8C-87338C83ED8B}">
      <formula1>"Diplom-Trainer*in, A-Trainer*in, B-Trainer*in, C-Trainer*in, andere*r Trainer*in, Referierende allg."</formula1>
    </dataValidation>
    <dataValidation type="list" allowBlank="1" showInputMessage="1" showErrorMessage="1" sqref="I10:J10" xr:uid="{C53DC2B9-7DCB-4DAD-85B5-9FD2BED75EAD}">
      <formula1>"bitte wählen, MFR, UFR, OFR, OBB, NBO, SWN"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00B0F0"/>
    <pageSetUpPr fitToPage="1"/>
  </sheetPr>
  <dimension ref="A1:N73"/>
  <sheetViews>
    <sheetView showGridLines="0" showWhiteSpace="0" topLeftCell="A13" zoomScaleNormal="100" zoomScaleSheetLayoutView="140" zoomScalePageLayoutView="130" workbookViewId="0">
      <selection activeCell="D30" sqref="D30"/>
    </sheetView>
  </sheetViews>
  <sheetFormatPr baseColWidth="10" defaultColWidth="11" defaultRowHeight="14.25"/>
  <cols>
    <col min="1" max="1" width="17.28515625" style="122" customWidth="1"/>
    <col min="2" max="2" width="4.7109375" style="122" customWidth="1"/>
    <col min="3" max="3" width="5.85546875" style="122" customWidth="1"/>
    <col min="4" max="4" width="8.42578125" style="122" customWidth="1"/>
    <col min="5" max="5" width="3.42578125" style="122" customWidth="1"/>
    <col min="6" max="6" width="1.7109375" style="122" customWidth="1"/>
    <col min="7" max="7" width="4.7109375" style="122" customWidth="1"/>
    <col min="8" max="8" width="6.85546875" style="122" customWidth="1"/>
    <col min="9" max="9" width="8.42578125" style="122" customWidth="1"/>
    <col min="10" max="10" width="2.28515625" style="122" customWidth="1"/>
    <col min="11" max="11" width="11.7109375" style="122" customWidth="1"/>
    <col min="12" max="12" width="2.85546875" style="122" customWidth="1"/>
    <col min="13" max="13" width="2.42578125" style="122" customWidth="1"/>
    <col min="14" max="14" width="12" style="122" customWidth="1"/>
    <col min="15" max="15" width="5" style="122" customWidth="1"/>
    <col min="16" max="16384" width="11" style="122"/>
  </cols>
  <sheetData>
    <row r="1" spans="1:14" ht="9.9499999999999993" customHeight="1"/>
    <row r="2" spans="1:14" ht="29.1" customHeight="1">
      <c r="A2" s="653" t="s">
        <v>0</v>
      </c>
      <c r="B2" s="653"/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162"/>
    </row>
    <row r="3" spans="1:14" ht="11.45" customHeight="1">
      <c r="A3" s="190" t="s">
        <v>1</v>
      </c>
      <c r="B3" s="163"/>
      <c r="C3" s="163"/>
      <c r="D3" s="163"/>
      <c r="E3" s="163"/>
      <c r="F3" s="163"/>
      <c r="G3" s="163"/>
      <c r="H3" s="163"/>
      <c r="I3" s="163"/>
      <c r="J3" s="420" t="str">
        <f>Deckblatt!K3</f>
        <v>BBV Form</v>
      </c>
      <c r="K3" s="421" t="str">
        <f>Deckblatt!L3</f>
        <v>01/2025</v>
      </c>
      <c r="L3" s="163"/>
      <c r="M3" s="419"/>
      <c r="N3" s="193"/>
    </row>
    <row r="4" spans="1:14" ht="15" customHeight="1">
      <c r="A4" s="695"/>
      <c r="B4" s="695"/>
      <c r="C4" s="695"/>
      <c r="D4" s="695"/>
      <c r="E4" s="695"/>
      <c r="F4" s="163"/>
      <c r="G4" s="163"/>
      <c r="H4" s="348" t="s">
        <v>97</v>
      </c>
      <c r="I4" s="348"/>
      <c r="J4" s="348"/>
      <c r="K4" s="348"/>
      <c r="L4" s="348"/>
      <c r="M4" s="349"/>
      <c r="N4" s="349"/>
    </row>
    <row r="5" spans="1:14" ht="9.9499999999999993" customHeight="1">
      <c r="A5" s="296" t="s">
        <v>324</v>
      </c>
      <c r="B5" s="163"/>
      <c r="C5" s="163"/>
      <c r="D5" s="163"/>
      <c r="E5" s="163"/>
      <c r="F5" s="163"/>
      <c r="G5" s="163"/>
      <c r="H5" s="350"/>
      <c r="I5" s="350"/>
      <c r="J5" s="350"/>
      <c r="K5" s="350"/>
      <c r="L5" s="350"/>
      <c r="M5" s="350"/>
      <c r="N5" s="350"/>
    </row>
    <row r="6" spans="1:14" ht="15" customHeight="1">
      <c r="A6" s="695"/>
      <c r="B6" s="695"/>
      <c r="C6" s="695"/>
      <c r="D6" s="695"/>
      <c r="E6" s="695"/>
      <c r="G6" s="163"/>
      <c r="H6" s="707" t="s">
        <v>2</v>
      </c>
      <c r="I6" s="708"/>
      <c r="J6" s="708"/>
      <c r="K6" s="705" t="s">
        <v>63</v>
      </c>
      <c r="L6" s="706"/>
      <c r="M6" s="706"/>
      <c r="N6" s="706"/>
    </row>
    <row r="7" spans="1:14" ht="9.9499999999999993" customHeight="1">
      <c r="A7" s="296" t="s">
        <v>3</v>
      </c>
      <c r="B7" s="163"/>
      <c r="C7" s="163"/>
      <c r="D7" s="163"/>
      <c r="E7" s="163"/>
      <c r="F7" s="163"/>
      <c r="G7" s="163"/>
      <c r="H7" s="350"/>
      <c r="I7" s="350"/>
      <c r="J7" s="350"/>
      <c r="K7" s="350"/>
      <c r="L7" s="350"/>
      <c r="M7" s="350"/>
      <c r="N7" s="350"/>
    </row>
    <row r="8" spans="1:14" ht="15" customHeight="1">
      <c r="A8" s="695"/>
      <c r="B8" s="695"/>
      <c r="C8" s="695"/>
      <c r="D8" s="695"/>
      <c r="E8" s="695"/>
      <c r="G8" s="163"/>
      <c r="H8" s="696" t="str">
        <f>VLOOKUP($K$6,Tagessätze!$A$3:$P$9,13)</f>
        <v>Geschäftsstelle</v>
      </c>
      <c r="I8" s="696"/>
      <c r="J8" s="696"/>
      <c r="K8" s="696"/>
      <c r="L8" s="696"/>
      <c r="M8" s="696"/>
      <c r="N8" s="349"/>
    </row>
    <row r="9" spans="1:14" ht="9.9499999999999993" customHeight="1">
      <c r="A9" s="296" t="s">
        <v>269</v>
      </c>
      <c r="B9" s="163" t="s">
        <v>1</v>
      </c>
      <c r="C9" s="163"/>
      <c r="D9" s="297"/>
      <c r="E9" s="163"/>
      <c r="F9" s="163"/>
      <c r="G9" s="163"/>
      <c r="H9" s="350"/>
      <c r="I9" s="350"/>
      <c r="J9" s="350"/>
      <c r="K9" s="350"/>
      <c r="L9" s="350"/>
      <c r="M9" s="350"/>
      <c r="N9" s="350"/>
    </row>
    <row r="10" spans="1:14" ht="14.85" customHeight="1">
      <c r="A10" s="695"/>
      <c r="B10" s="695"/>
      <c r="C10" s="695"/>
      <c r="D10" s="695"/>
      <c r="E10" s="695"/>
      <c r="G10" s="163"/>
      <c r="H10" s="696" t="str">
        <f>VLOOKUP($K$6,Tagessätze!$A$3:$P$9,14)</f>
        <v>Postfach 50 01 20</v>
      </c>
      <c r="I10" s="696"/>
      <c r="J10" s="696"/>
      <c r="K10" s="696"/>
      <c r="L10" s="696"/>
      <c r="M10" s="696"/>
      <c r="N10" s="349"/>
    </row>
    <row r="11" spans="1:14" ht="9.9499999999999993" customHeight="1">
      <c r="A11" s="296" t="s">
        <v>270</v>
      </c>
      <c r="B11" s="163" t="s">
        <v>1</v>
      </c>
      <c r="C11" s="163"/>
      <c r="D11" s="297"/>
      <c r="E11" s="163"/>
      <c r="F11" s="163"/>
      <c r="G11" s="163"/>
      <c r="H11" s="350"/>
      <c r="I11" s="350"/>
      <c r="J11" s="350"/>
      <c r="K11" s="350"/>
      <c r="L11" s="350"/>
      <c r="M11" s="350"/>
      <c r="N11" s="350"/>
    </row>
    <row r="12" spans="1:14" ht="14.85" customHeight="1">
      <c r="A12" s="695"/>
      <c r="B12" s="695"/>
      <c r="C12" s="695"/>
      <c r="D12" s="695"/>
      <c r="E12" s="695"/>
      <c r="G12" s="163"/>
      <c r="H12" s="696" t="str">
        <f>CONCATENATE(VLOOKUP($K$6,Tagessätze!$A$3:$P$9,15)," ",VLOOKUP($K$6,Tagessätze!$A$3:$P$9,16))</f>
        <v>80971 München</v>
      </c>
      <c r="I12" s="696"/>
      <c r="J12" s="696"/>
      <c r="K12" s="696"/>
      <c r="L12" s="696"/>
      <c r="M12" s="696"/>
      <c r="N12" s="348"/>
    </row>
    <row r="13" spans="1:14" ht="9.9499999999999993" customHeight="1">
      <c r="A13" s="296" t="s">
        <v>254</v>
      </c>
      <c r="B13" s="163" t="s">
        <v>1</v>
      </c>
      <c r="C13" s="163"/>
      <c r="D13" s="297"/>
      <c r="E13" s="163"/>
      <c r="F13" s="163"/>
      <c r="G13" s="163"/>
      <c r="H13" s="709"/>
      <c r="I13" s="709"/>
      <c r="J13" s="709"/>
      <c r="K13" s="709"/>
      <c r="L13" s="298"/>
      <c r="M13" s="709"/>
      <c r="N13" s="709"/>
    </row>
    <row r="14" spans="1:14" ht="6.95" customHeight="1">
      <c r="A14" s="345"/>
      <c r="B14" s="345"/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</row>
    <row r="15" spans="1:14" s="299" customFormat="1" ht="2.85" customHeight="1">
      <c r="A15" s="297"/>
      <c r="B15" s="297"/>
      <c r="C15" s="297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</row>
    <row r="16" spans="1:14" ht="15.75" customHeight="1">
      <c r="A16" s="300" t="s">
        <v>4</v>
      </c>
      <c r="B16" s="715"/>
      <c r="C16" s="715"/>
      <c r="D16" s="715"/>
      <c r="E16" s="715"/>
      <c r="F16" s="715"/>
      <c r="G16" s="226" t="s">
        <v>5</v>
      </c>
      <c r="H16" s="715"/>
      <c r="I16" s="715"/>
      <c r="J16" s="715"/>
      <c r="K16" s="715"/>
      <c r="L16" s="163" t="s">
        <v>6</v>
      </c>
      <c r="M16" s="226"/>
      <c r="N16" s="226"/>
    </row>
    <row r="17" spans="1:14" ht="2.85" customHeight="1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</row>
    <row r="18" spans="1:14">
      <c r="A18" s="300" t="s">
        <v>7</v>
      </c>
      <c r="B18" s="163"/>
      <c r="C18" s="301"/>
      <c r="D18" s="226" t="s">
        <v>8</v>
      </c>
      <c r="E18" s="694"/>
      <c r="F18" s="694"/>
      <c r="G18" s="694"/>
      <c r="H18" s="694"/>
      <c r="I18" s="226" t="s">
        <v>9</v>
      </c>
      <c r="J18" s="701"/>
      <c r="K18" s="701"/>
      <c r="L18" s="302" t="s">
        <v>10</v>
      </c>
      <c r="M18" s="163"/>
      <c r="N18" s="301"/>
    </row>
    <row r="19" spans="1:14" ht="2.85" customHeight="1">
      <c r="A19" s="163"/>
      <c r="B19" s="163"/>
      <c r="C19" s="163"/>
      <c r="I19" s="163"/>
      <c r="J19" s="163"/>
      <c r="K19" s="163"/>
      <c r="L19" s="163"/>
      <c r="M19" s="163"/>
      <c r="N19" s="163"/>
    </row>
    <row r="20" spans="1:14">
      <c r="A20" s="300" t="s">
        <v>11</v>
      </c>
      <c r="B20" s="163"/>
      <c r="C20" s="301"/>
      <c r="D20" s="226" t="s">
        <v>8</v>
      </c>
      <c r="E20" s="694"/>
      <c r="F20" s="694"/>
      <c r="G20" s="694"/>
      <c r="H20" s="694"/>
      <c r="I20" s="226" t="s">
        <v>9</v>
      </c>
      <c r="J20" s="701"/>
      <c r="K20" s="701"/>
      <c r="L20" s="302" t="s">
        <v>10</v>
      </c>
      <c r="M20" s="163"/>
      <c r="N20" s="301"/>
    </row>
    <row r="21" spans="1:14" ht="2.85" customHeight="1">
      <c r="A21" s="292"/>
      <c r="B21" s="163"/>
      <c r="C21" s="301"/>
      <c r="D21" s="226"/>
      <c r="E21" s="303"/>
      <c r="F21" s="303"/>
      <c r="G21" s="303"/>
      <c r="H21" s="303"/>
      <c r="I21" s="226"/>
      <c r="J21" s="304"/>
      <c r="K21" s="304"/>
      <c r="L21" s="302"/>
      <c r="M21" s="163"/>
      <c r="N21" s="301"/>
    </row>
    <row r="22" spans="1:14" ht="12.75" customHeight="1">
      <c r="A22" s="305" t="s">
        <v>12</v>
      </c>
      <c r="B22" s="306"/>
      <c r="C22" s="306"/>
      <c r="D22" s="307"/>
      <c r="E22" s="700" t="str">
        <f>IF(AND(D22 &lt;&gt; "", D22 &gt; 0), IF(D22 = 1, "an folgendem Tag:","an folgenden Tagen:"),"")</f>
        <v/>
      </c>
      <c r="F22" s="700"/>
      <c r="G22" s="700"/>
      <c r="H22" s="700"/>
      <c r="I22" s="702">
        <v>45011</v>
      </c>
      <c r="J22" s="703"/>
      <c r="K22" s="703"/>
      <c r="L22" s="703"/>
      <c r="M22" s="703"/>
      <c r="N22" s="703"/>
    </row>
    <row r="23" spans="1:14" ht="12.75" customHeight="1">
      <c r="A23" s="305"/>
      <c r="B23" s="306"/>
      <c r="C23" s="306"/>
      <c r="D23" s="306"/>
      <c r="E23" s="308"/>
      <c r="F23" s="308"/>
      <c r="G23" s="308"/>
      <c r="H23" s="308"/>
      <c r="I23" s="704"/>
      <c r="J23" s="704"/>
      <c r="K23" s="704"/>
      <c r="L23" s="704"/>
      <c r="M23" s="704"/>
      <c r="N23" s="704"/>
    </row>
    <row r="24" spans="1:14" s="299" customFormat="1" ht="2.85" customHeight="1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</row>
    <row r="25" spans="1:14" ht="6.95" customHeight="1">
      <c r="A25" s="345"/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</row>
    <row r="26" spans="1:14" s="299" customFormat="1" ht="2.85" customHeight="1">
      <c r="A26" s="297"/>
      <c r="B26" s="297"/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</row>
    <row r="27" spans="1:14" ht="15" customHeight="1">
      <c r="A27" s="309" t="s">
        <v>13</v>
      </c>
      <c r="B27" s="302" t="s">
        <v>14</v>
      </c>
      <c r="C27" s="292"/>
      <c r="D27" s="163"/>
      <c r="E27" s="163"/>
      <c r="F27" s="310"/>
      <c r="G27" s="717" t="s">
        <v>15</v>
      </c>
      <c r="H27" s="717"/>
      <c r="I27" s="311" t="s">
        <v>16</v>
      </c>
      <c r="J27" s="711">
        <v>0</v>
      </c>
      <c r="K27" s="711"/>
      <c r="L27" s="163"/>
      <c r="M27" s="163"/>
      <c r="N27" s="163"/>
    </row>
    <row r="28" spans="1:14" ht="3.95" customHeight="1">
      <c r="A28" s="163"/>
      <c r="B28" s="163"/>
      <c r="C28" s="163"/>
      <c r="D28" s="163"/>
      <c r="E28" s="163"/>
      <c r="F28" s="163"/>
      <c r="G28" s="163"/>
      <c r="H28" s="163"/>
      <c r="I28" s="163"/>
      <c r="J28" s="163"/>
      <c r="K28" s="312"/>
      <c r="L28" s="163"/>
      <c r="M28" s="163"/>
      <c r="N28" s="163"/>
    </row>
    <row r="29" spans="1:14" ht="12" customHeight="1">
      <c r="A29" s="313" t="s">
        <v>1</v>
      </c>
      <c r="B29" s="302" t="s">
        <v>17</v>
      </c>
      <c r="C29" s="292"/>
      <c r="D29" s="163"/>
      <c r="E29" s="163"/>
      <c r="F29" s="163"/>
      <c r="G29" s="163"/>
      <c r="H29" s="699"/>
      <c r="I29" s="699"/>
      <c r="J29" s="163"/>
      <c r="K29" s="312"/>
      <c r="L29" s="163"/>
      <c r="M29" s="163"/>
      <c r="N29" s="163"/>
    </row>
    <row r="30" spans="1:14" ht="15" customHeight="1">
      <c r="A30" s="226"/>
      <c r="B30" s="226"/>
      <c r="C30" s="226"/>
      <c r="D30" s="314"/>
      <c r="E30" s="226" t="s">
        <v>18</v>
      </c>
      <c r="F30" s="226" t="s">
        <v>19</v>
      </c>
      <c r="G30" s="697">
        <f>VLOOKUP($K$6,Tagessätze!$A$3:$P$9,2)</f>
        <v>0.3</v>
      </c>
      <c r="H30" s="697"/>
      <c r="I30" s="311" t="s">
        <v>16</v>
      </c>
      <c r="J30" s="698">
        <f>IF(D30 &lt;&gt; "",D30*G30,0)</f>
        <v>0</v>
      </c>
      <c r="K30" s="698"/>
      <c r="L30" s="226"/>
      <c r="M30" s="315"/>
      <c r="N30" s="316"/>
    </row>
    <row r="31" spans="1:14" ht="3.95" customHeight="1">
      <c r="A31" s="163"/>
      <c r="B31" s="163"/>
      <c r="C31" s="163"/>
      <c r="D31" s="163"/>
      <c r="E31" s="163"/>
      <c r="F31" s="163"/>
      <c r="G31" s="163"/>
      <c r="H31" s="163"/>
      <c r="I31" s="163"/>
      <c r="J31" s="163"/>
      <c r="K31" s="312"/>
      <c r="L31" s="163"/>
      <c r="M31" s="163"/>
      <c r="N31" s="163"/>
    </row>
    <row r="32" spans="1:14">
      <c r="A32" s="313" t="s">
        <v>1</v>
      </c>
      <c r="B32" s="302" t="s">
        <v>20</v>
      </c>
      <c r="C32" s="292"/>
      <c r="D32" s="163"/>
      <c r="E32" s="163"/>
      <c r="F32" s="163"/>
      <c r="G32" s="163"/>
      <c r="H32" s="699"/>
      <c r="I32" s="699"/>
      <c r="J32" s="163"/>
      <c r="K32" s="312"/>
      <c r="L32" s="163"/>
      <c r="M32" s="163"/>
      <c r="N32" s="163"/>
    </row>
    <row r="33" spans="1:14" ht="15" customHeight="1">
      <c r="A33" s="226"/>
      <c r="B33" s="317"/>
      <c r="C33" s="226" t="s">
        <v>19</v>
      </c>
      <c r="D33" s="314"/>
      <c r="E33" s="311" t="s">
        <v>18</v>
      </c>
      <c r="F33" s="226" t="s">
        <v>19</v>
      </c>
      <c r="G33" s="697">
        <f>VLOOKUP($K$6,Tagessätze!$A$3:$P$9,3)</f>
        <v>0.02</v>
      </c>
      <c r="H33" s="697"/>
      <c r="I33" s="311" t="s">
        <v>16</v>
      </c>
      <c r="J33" s="698">
        <f>B33*D33*G33</f>
        <v>0</v>
      </c>
      <c r="K33" s="698"/>
      <c r="L33" s="226"/>
      <c r="M33" s="315"/>
      <c r="N33" s="316"/>
    </row>
    <row r="34" spans="1:14" ht="15" customHeight="1">
      <c r="A34" s="163"/>
      <c r="B34" s="302" t="str">
        <f>IF(B33 = 0, "",IF(H32 = "1 Person", "Namen des Mitfahrers:","Namen der Mitfahrer:"))</f>
        <v/>
      </c>
      <c r="C34" s="292"/>
      <c r="D34" s="163"/>
      <c r="E34" s="163"/>
      <c r="F34" s="163"/>
      <c r="G34" s="163"/>
      <c r="H34" s="163"/>
      <c r="I34" s="163"/>
      <c r="J34" s="163"/>
      <c r="K34" s="312"/>
      <c r="L34" s="163"/>
      <c r="M34" s="226"/>
      <c r="N34" s="318"/>
    </row>
    <row r="35" spans="1:14" ht="15" customHeight="1">
      <c r="A35" s="163"/>
      <c r="B35" s="716" t="s">
        <v>316</v>
      </c>
      <c r="C35" s="716"/>
      <c r="D35" s="716"/>
      <c r="E35" s="716"/>
      <c r="F35" s="716"/>
      <c r="G35" s="716"/>
      <c r="H35" s="716"/>
      <c r="I35" s="716"/>
      <c r="J35" s="716"/>
      <c r="K35" s="716"/>
      <c r="L35" s="163"/>
      <c r="M35" s="226"/>
      <c r="N35" s="318"/>
    </row>
    <row r="36" spans="1:14" ht="3.95" customHeight="1">
      <c r="A36" s="163"/>
      <c r="B36" s="163"/>
      <c r="C36" s="163"/>
      <c r="D36" s="163"/>
      <c r="E36" s="163"/>
      <c r="F36" s="163"/>
      <c r="G36" s="163"/>
      <c r="H36" s="163"/>
      <c r="I36" s="163"/>
      <c r="J36" s="163"/>
      <c r="K36" s="312"/>
      <c r="L36" s="163"/>
      <c r="M36" s="226"/>
      <c r="N36" s="318"/>
    </row>
    <row r="37" spans="1:14" ht="15" customHeight="1">
      <c r="A37" s="163"/>
      <c r="B37" s="302" t="s">
        <v>21</v>
      </c>
      <c r="C37" s="292"/>
      <c r="D37" s="163"/>
      <c r="E37" s="163"/>
      <c r="F37" s="163"/>
      <c r="G37" s="163"/>
      <c r="H37" s="163"/>
      <c r="I37" s="311" t="s">
        <v>16</v>
      </c>
      <c r="J37" s="711">
        <v>0</v>
      </c>
      <c r="K37" s="711"/>
      <c r="L37" s="163"/>
      <c r="M37" s="226"/>
      <c r="N37" s="318"/>
    </row>
    <row r="38" spans="1:14" ht="3.95" customHeight="1">
      <c r="A38" s="163"/>
      <c r="B38" s="163"/>
      <c r="C38" s="163"/>
      <c r="D38" s="163"/>
      <c r="E38" s="163"/>
      <c r="F38" s="163"/>
      <c r="G38" s="163"/>
      <c r="H38" s="163"/>
      <c r="I38" s="163"/>
      <c r="J38" s="163"/>
      <c r="K38" s="312"/>
      <c r="L38" s="163"/>
      <c r="M38" s="226"/>
      <c r="N38" s="318"/>
    </row>
    <row r="39" spans="1:14" ht="15" customHeight="1">
      <c r="A39" s="163"/>
      <c r="B39" s="302" t="s">
        <v>22</v>
      </c>
      <c r="C39" s="292"/>
      <c r="D39" s="716"/>
      <c r="E39" s="716"/>
      <c r="F39" s="716"/>
      <c r="G39" s="716"/>
      <c r="H39" s="716"/>
      <c r="I39" s="311" t="s">
        <v>16</v>
      </c>
      <c r="J39" s="711">
        <v>0</v>
      </c>
      <c r="K39" s="711"/>
      <c r="L39" s="226" t="s">
        <v>23</v>
      </c>
      <c r="M39" s="311" t="s">
        <v>16</v>
      </c>
      <c r="N39" s="319">
        <f>J27+J30+J33+J37+J39</f>
        <v>0</v>
      </c>
    </row>
    <row r="40" spans="1:14" ht="12.95" customHeight="1">
      <c r="A40" s="163"/>
      <c r="B40" s="302"/>
      <c r="C40" s="292"/>
      <c r="D40" s="296" t="s">
        <v>24</v>
      </c>
      <c r="E40" s="163"/>
      <c r="F40" s="163"/>
      <c r="G40" s="163"/>
      <c r="H40" s="163"/>
      <c r="I40" s="311"/>
      <c r="J40" s="320"/>
      <c r="K40" s="320"/>
      <c r="L40" s="226"/>
      <c r="M40" s="311"/>
      <c r="N40" s="319"/>
    </row>
    <row r="41" spans="1:14" ht="6.95" customHeight="1">
      <c r="A41" s="345"/>
      <c r="B41" s="345"/>
      <c r="C41" s="345"/>
      <c r="D41" s="345"/>
      <c r="E41" s="345"/>
      <c r="F41" s="345"/>
      <c r="G41" s="345"/>
      <c r="H41" s="345"/>
      <c r="I41" s="345"/>
      <c r="J41" s="345"/>
      <c r="K41" s="345"/>
      <c r="L41" s="345"/>
      <c r="M41" s="346"/>
      <c r="N41" s="347"/>
    </row>
    <row r="42" spans="1:14" s="299" customFormat="1" ht="2.85" customHeight="1">
      <c r="A42" s="297"/>
      <c r="B42" s="297"/>
      <c r="C42" s="297"/>
      <c r="D42" s="297"/>
      <c r="E42" s="297"/>
      <c r="F42" s="297"/>
      <c r="G42" s="297"/>
      <c r="H42" s="297"/>
      <c r="I42" s="297"/>
      <c r="J42" s="297"/>
      <c r="K42" s="297"/>
      <c r="L42" s="297"/>
      <c r="M42" s="315"/>
      <c r="N42" s="321"/>
    </row>
    <row r="43" spans="1:14" ht="12" customHeight="1">
      <c r="A43" s="309" t="s">
        <v>25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226"/>
      <c r="N43" s="318"/>
    </row>
    <row r="44" spans="1:14" ht="15" customHeight="1">
      <c r="A44" s="309" t="s">
        <v>26</v>
      </c>
      <c r="B44" s="317">
        <v>0</v>
      </c>
      <c r="C44" s="720" t="s">
        <v>27</v>
      </c>
      <c r="D44" s="720"/>
      <c r="E44" s="711">
        <v>0</v>
      </c>
      <c r="F44" s="711"/>
      <c r="G44" s="711"/>
      <c r="H44" s="717" t="s">
        <v>175</v>
      </c>
      <c r="I44" s="717"/>
      <c r="J44" s="717"/>
      <c r="K44" s="717"/>
      <c r="L44" s="226" t="s">
        <v>23</v>
      </c>
      <c r="M44" s="311" t="s">
        <v>16</v>
      </c>
      <c r="N44" s="319">
        <f>B44*E44</f>
        <v>0</v>
      </c>
    </row>
    <row r="45" spans="1:14" ht="2.85" customHeight="1">
      <c r="A45" s="309"/>
      <c r="B45" s="315"/>
      <c r="C45" s="226"/>
      <c r="D45" s="226"/>
      <c r="E45" s="320"/>
      <c r="F45" s="320"/>
      <c r="G45" s="320"/>
      <c r="H45" s="302"/>
      <c r="I45" s="302"/>
      <c r="J45" s="302"/>
      <c r="K45" s="302"/>
      <c r="L45" s="226"/>
      <c r="M45" s="311"/>
      <c r="N45" s="319"/>
    </row>
    <row r="46" spans="1:14" ht="6.95" customHeight="1">
      <c r="A46" s="345"/>
      <c r="B46" s="345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7"/>
    </row>
    <row r="47" spans="1:14" s="299" customFormat="1" ht="2.85" customHeight="1">
      <c r="A47" s="297"/>
      <c r="B47" s="297"/>
      <c r="C47" s="297"/>
      <c r="D47" s="297"/>
      <c r="E47" s="297"/>
      <c r="F47" s="297"/>
      <c r="G47" s="297"/>
      <c r="H47" s="297"/>
      <c r="I47" s="297"/>
      <c r="J47" s="297"/>
      <c r="K47" s="297"/>
      <c r="L47" s="297"/>
      <c r="M47" s="297"/>
      <c r="N47" s="321"/>
    </row>
    <row r="48" spans="1:14" ht="12" customHeight="1">
      <c r="A48" s="309" t="s">
        <v>28</v>
      </c>
      <c r="B48" s="302" t="s">
        <v>29</v>
      </c>
      <c r="C48" s="302"/>
      <c r="D48" s="322"/>
      <c r="E48" s="322"/>
      <c r="F48" s="322"/>
      <c r="G48" s="163"/>
      <c r="H48" s="163"/>
      <c r="I48" s="163"/>
      <c r="J48" s="163"/>
      <c r="K48" s="163"/>
      <c r="L48" s="163"/>
      <c r="M48" s="226"/>
      <c r="N48" s="318"/>
    </row>
    <row r="49" spans="1:14" ht="6.2" customHeight="1">
      <c r="A49" s="302"/>
      <c r="B49" s="302"/>
      <c r="C49" s="322"/>
      <c r="D49" s="322"/>
      <c r="E49" s="322"/>
      <c r="F49" s="322"/>
      <c r="G49" s="163"/>
      <c r="H49" s="163"/>
      <c r="I49" s="163"/>
      <c r="J49" s="163"/>
      <c r="K49" s="163"/>
      <c r="L49" s="163"/>
      <c r="M49" s="226"/>
      <c r="N49" s="318"/>
    </row>
    <row r="50" spans="1:14" ht="12" customHeight="1">
      <c r="A50" s="302"/>
      <c r="B50" s="713" t="s">
        <v>30</v>
      </c>
      <c r="C50" s="713"/>
      <c r="D50" s="713"/>
      <c r="E50" s="322"/>
      <c r="F50" s="322"/>
      <c r="G50" s="713" t="s">
        <v>31</v>
      </c>
      <c r="H50" s="713"/>
      <c r="I50" s="713"/>
      <c r="J50" s="163"/>
      <c r="K50" s="163"/>
      <c r="L50" s="163"/>
      <c r="M50" s="226"/>
      <c r="N50" s="318"/>
    </row>
    <row r="51" spans="1:14" ht="5.45" customHeight="1">
      <c r="A51" s="302"/>
      <c r="B51" s="302"/>
      <c r="C51" s="226"/>
      <c r="D51" s="226"/>
      <c r="E51" s="322"/>
      <c r="F51" s="322"/>
      <c r="G51" s="163"/>
      <c r="H51" s="163"/>
      <c r="I51" s="163"/>
      <c r="J51" s="163"/>
      <c r="K51" s="163"/>
      <c r="L51" s="163"/>
      <c r="M51" s="226"/>
      <c r="N51" s="318"/>
    </row>
    <row r="52" spans="1:14" ht="15" customHeight="1">
      <c r="A52" s="323" t="s">
        <v>32</v>
      </c>
      <c r="B52" s="324" t="str">
        <f>IF(AND('Hilfsblatt ML'!A2 &lt;&gt; "",AND('Hilfsblatt ML'!A2 &gt;= 6,'Hilfsblatt ML'!A2&lt;8)),1,"")</f>
        <v/>
      </c>
      <c r="C52" s="325" t="s">
        <v>33</v>
      </c>
      <c r="D52" s="326">
        <f>VLOOKUP($K$6,Tagessätze!$A$3:$P$9,4)</f>
        <v>8</v>
      </c>
      <c r="E52" s="327"/>
      <c r="F52" s="328"/>
      <c r="G52" s="329" t="str">
        <f>IF('Hilfsblatt ML'!F2 &lt;&gt; "", 'Hilfsblatt ML'!F2, "")</f>
        <v/>
      </c>
      <c r="H52" s="330" t="s">
        <v>34</v>
      </c>
      <c r="I52" s="331">
        <f>VLOOKUP($K$6,Tagessätze!$A$3:$P$9,7)</f>
        <v>8</v>
      </c>
      <c r="J52" s="226" t="s">
        <v>16</v>
      </c>
      <c r="K52" s="316">
        <f>IF(OR(B52 &lt;&gt; "",G52 &lt;&gt; ""),IF(B52 &lt;&gt; "",(B52*D52),0)+IF(G52 &lt;&gt; "",(G52*I52),0),0)</f>
        <v>0</v>
      </c>
      <c r="L52" s="163" t="s">
        <v>1</v>
      </c>
      <c r="M52" s="226"/>
      <c r="N52" s="318"/>
    </row>
    <row r="53" spans="1:14" ht="6" customHeight="1">
      <c r="A53" s="302"/>
      <c r="B53" s="226"/>
      <c r="C53" s="226"/>
      <c r="D53" s="313"/>
      <c r="E53" s="332"/>
      <c r="F53" s="333"/>
      <c r="G53" s="313"/>
      <c r="H53" s="226"/>
      <c r="I53" s="313"/>
      <c r="J53" s="226"/>
      <c r="K53" s="312"/>
      <c r="L53" s="163"/>
      <c r="M53" s="226"/>
      <c r="N53" s="318"/>
    </row>
    <row r="54" spans="1:14" ht="15" customHeight="1">
      <c r="A54" s="323" t="s">
        <v>35</v>
      </c>
      <c r="B54" s="324" t="str">
        <f>IF(AND('Hilfsblatt ML'!A2 &lt;&gt; "",AND('Hilfsblatt ML'!A2 &gt;= 8,'Hilfsblatt ML'!A2&lt;12)),1,"")</f>
        <v/>
      </c>
      <c r="C54" s="325" t="s">
        <v>33</v>
      </c>
      <c r="D54" s="326">
        <f>VLOOKUP($K$6,Tagessätze!$A$3:$P$9,5)</f>
        <v>12</v>
      </c>
      <c r="E54" s="327"/>
      <c r="F54" s="328"/>
      <c r="G54" s="329" t="str">
        <f>IF('Hilfsblatt ML'!G2 &lt;&gt; "", 'Hilfsblatt ML'!G2, "")</f>
        <v/>
      </c>
      <c r="H54" s="334" t="s">
        <v>34</v>
      </c>
      <c r="I54" s="335">
        <f>VLOOKUP($K$6,Tagessätze!$A$3:$P$9,8)</f>
        <v>14</v>
      </c>
      <c r="J54" s="226" t="s">
        <v>16</v>
      </c>
      <c r="K54" s="316">
        <f>IF(OR(B54 &lt;&gt; "",G54 &lt;&gt; ""),IF(B54 &lt;&gt; "",(B54*D54),0)+IF(G54 &lt;&gt; "",(G54*I54),0),0)</f>
        <v>0</v>
      </c>
      <c r="L54" s="163"/>
      <c r="M54" s="226"/>
      <c r="N54" s="318"/>
    </row>
    <row r="55" spans="1:14" ht="6" customHeight="1">
      <c r="A55" s="302"/>
      <c r="B55" s="226"/>
      <c r="C55" s="226"/>
      <c r="D55" s="313"/>
      <c r="E55" s="332"/>
      <c r="F55" s="333"/>
      <c r="G55" s="226" t="s">
        <v>1</v>
      </c>
      <c r="H55" s="226" t="s">
        <v>1</v>
      </c>
      <c r="I55" s="313"/>
      <c r="J55" s="226"/>
      <c r="K55" s="312"/>
      <c r="L55" s="163"/>
      <c r="M55" s="226"/>
      <c r="N55" s="318"/>
    </row>
    <row r="56" spans="1:14" ht="15" customHeight="1">
      <c r="A56" s="323" t="s">
        <v>36</v>
      </c>
      <c r="B56" s="324" t="str">
        <f>IF(AND('Hilfsblatt ML'!A2 &lt;&gt; "",'Hilfsblatt ML'!A2 &gt;= 12),1,"")</f>
        <v/>
      </c>
      <c r="C56" s="325" t="s">
        <v>33</v>
      </c>
      <c r="D56" s="326">
        <f>VLOOKUP($K$6,Tagessätze!$A$3:$P$9,6)</f>
        <v>18</v>
      </c>
      <c r="E56" s="327"/>
      <c r="F56" s="328"/>
      <c r="G56" s="329" t="str">
        <f>IF('Hilfsblatt ML'!H2 &lt;&gt; "", 'Hilfsblatt ML'!H2, "")</f>
        <v/>
      </c>
      <c r="H56" s="334" t="s">
        <v>34</v>
      </c>
      <c r="I56" s="335">
        <f>VLOOKUP($K$6,Tagessätze!$A$3:$P$9,9)</f>
        <v>24</v>
      </c>
      <c r="J56" s="226" t="s">
        <v>16</v>
      </c>
      <c r="K56" s="316">
        <f>IF(OR(B56 &lt;&gt; "",G56 &lt;&gt; ""),IF(B56 &lt;&gt; "",(B56*D56),0)+IF(G56 &lt;&gt; "",(G56*I56),0),0)</f>
        <v>0</v>
      </c>
      <c r="L56" s="226" t="s">
        <v>23</v>
      </c>
      <c r="M56" s="226" t="s">
        <v>16</v>
      </c>
      <c r="N56" s="319">
        <f>IF('Hilfsblatt ML'!$A$2 &lt; 6,K48+K50+K52,0)</f>
        <v>0</v>
      </c>
    </row>
    <row r="57" spans="1:14" ht="8.4499999999999993" customHeight="1">
      <c r="A57" s="313"/>
      <c r="B57" s="163"/>
      <c r="C57" s="163"/>
      <c r="J57" s="163"/>
      <c r="K57" s="312"/>
      <c r="L57" s="163"/>
      <c r="M57" s="226"/>
      <c r="N57" s="318"/>
    </row>
    <row r="58" spans="1:14" ht="15" customHeight="1">
      <c r="A58" s="629" t="str">
        <f>IF('Hilfsblatt ML'!A2 &lt;&gt; "", "Frühstück erhalten?", "Frühstück erhalten (ohne Anreisetag)?")</f>
        <v>Frühstück erhalten?</v>
      </c>
      <c r="B58" s="629"/>
      <c r="C58" s="629"/>
      <c r="D58" s="629"/>
      <c r="E58" s="629"/>
      <c r="F58" s="163"/>
      <c r="G58" s="336" t="s">
        <v>77</v>
      </c>
      <c r="H58" s="337">
        <f>IF('Hilfsblatt ML'!$A$2 &lt; 6, 0, VLOOKUP($K$6,Tagessätze!$A$3:$P$9,10))</f>
        <v>0</v>
      </c>
      <c r="I58" s="226" t="s">
        <v>37</v>
      </c>
      <c r="J58" s="226" t="s">
        <v>16</v>
      </c>
      <c r="K58" s="338">
        <f>IF(G58 = "x", 'Hilfsblatt ML'!I2*-1,0)</f>
        <v>0</v>
      </c>
    </row>
    <row r="59" spans="1:14" ht="15" customHeight="1">
      <c r="A59" s="163"/>
      <c r="B59" s="629" t="s">
        <v>38</v>
      </c>
      <c r="C59" s="629"/>
      <c r="D59" s="629"/>
      <c r="E59" s="629"/>
      <c r="F59" s="163"/>
      <c r="G59" s="339" t="s">
        <v>77</v>
      </c>
      <c r="H59" s="337">
        <f>IF('Hilfsblatt ML'!$A$2 &lt; 6, 0,VLOOKUP($K$6,Tagessätze!$A$3:$P$9,11))</f>
        <v>0</v>
      </c>
      <c r="I59" s="226" t="s">
        <v>37</v>
      </c>
      <c r="J59" s="226" t="s">
        <v>16</v>
      </c>
      <c r="K59" s="338">
        <f>IF(G59 = "x", 'Hilfsblatt ML'!J2*-1,0)</f>
        <v>0</v>
      </c>
      <c r="L59" s="163"/>
      <c r="M59" s="302"/>
      <c r="N59" s="318"/>
    </row>
    <row r="60" spans="1:14" ht="15" customHeight="1">
      <c r="A60" s="629" t="str">
        <f>IF('Hilfsblatt ML'!A2 &lt;&gt; "", "Abendessen erhalten?", "Abendessen erhalten (ohne Abreisetag)?")</f>
        <v>Abendessen erhalten?</v>
      </c>
      <c r="B60" s="629"/>
      <c r="C60" s="629"/>
      <c r="D60" s="629"/>
      <c r="E60" s="629"/>
      <c r="F60" s="163"/>
      <c r="G60" s="336" t="s">
        <v>77</v>
      </c>
      <c r="H60" s="337">
        <f>IF('Hilfsblatt ML'!$A$2 &lt; 6, 0,VLOOKUP($K$6,Tagessätze!$A$3:$P$9,12))</f>
        <v>0</v>
      </c>
      <c r="I60" s="226" t="s">
        <v>37</v>
      </c>
      <c r="J60" s="226" t="s">
        <v>16</v>
      </c>
      <c r="K60" s="338">
        <f>IF(G60 = "x", 'Hilfsblatt ML'!K2*-1,0)</f>
        <v>0</v>
      </c>
      <c r="L60" s="226" t="s">
        <v>23</v>
      </c>
      <c r="M60" s="311" t="s">
        <v>16</v>
      </c>
      <c r="N60" s="319">
        <f>K52+K54+K56+K58+K59+K60</f>
        <v>0</v>
      </c>
    </row>
    <row r="61" spans="1:14" ht="2.85" customHeight="1">
      <c r="A61" s="163"/>
      <c r="B61" s="313"/>
      <c r="C61" s="313"/>
      <c r="D61" s="313"/>
      <c r="E61" s="313"/>
      <c r="F61" s="163"/>
      <c r="G61" s="315"/>
      <c r="H61" s="337"/>
      <c r="I61" s="226"/>
      <c r="J61" s="226"/>
      <c r="K61" s="338"/>
      <c r="L61" s="226"/>
      <c r="M61" s="311"/>
      <c r="N61" s="319"/>
    </row>
    <row r="62" spans="1:14" ht="6.95" customHeight="1">
      <c r="A62" s="345"/>
      <c r="B62" s="345"/>
      <c r="C62" s="345"/>
      <c r="D62" s="345"/>
      <c r="E62" s="345"/>
      <c r="F62" s="345"/>
      <c r="G62" s="345"/>
      <c r="H62" s="345"/>
      <c r="I62" s="345"/>
      <c r="J62" s="345"/>
      <c r="K62" s="345"/>
      <c r="L62" s="345"/>
      <c r="M62" s="346"/>
      <c r="N62" s="347"/>
    </row>
    <row r="63" spans="1:14" s="299" customFormat="1" ht="2.85" customHeight="1">
      <c r="A63" s="297"/>
      <c r="B63" s="297"/>
      <c r="C63" s="297"/>
      <c r="D63" s="297"/>
      <c r="E63" s="297"/>
      <c r="F63" s="297"/>
      <c r="G63" s="297"/>
      <c r="H63" s="297"/>
      <c r="I63" s="297"/>
      <c r="J63" s="297"/>
      <c r="K63" s="297"/>
      <c r="L63" s="297"/>
      <c r="M63" s="315"/>
      <c r="N63" s="321"/>
    </row>
    <row r="64" spans="1:14" ht="15" customHeight="1">
      <c r="A64" s="340" t="s">
        <v>174</v>
      </c>
      <c r="B64" s="663"/>
      <c r="C64" s="663"/>
      <c r="D64" s="163"/>
      <c r="E64" s="629" t="str">
        <f>IF(AND($E$18 = $E$20,$D$22&gt;0),CONCATENATE("Summe Einzelposten ",TEXT($N$39+$N$44+$N$60, "0,00 €")," x ",$D$22+1),"Gesamtsumme")</f>
        <v>Gesamtsumme</v>
      </c>
      <c r="F64" s="629"/>
      <c r="G64" s="629"/>
      <c r="H64" s="629"/>
      <c r="I64" s="629"/>
      <c r="J64" s="629"/>
      <c r="K64" s="629"/>
      <c r="L64" s="629"/>
      <c r="M64" s="226" t="s">
        <v>16</v>
      </c>
      <c r="N64" s="341">
        <f>SUM(N39+N44+N60+N56)*IF(E18 = E20,D22+1,1)</f>
        <v>0</v>
      </c>
    </row>
    <row r="65" spans="1:14" ht="3" customHeight="1">
      <c r="A65" s="340"/>
      <c r="B65" s="226"/>
      <c r="C65" s="226"/>
      <c r="D65" s="163"/>
      <c r="E65" s="313"/>
      <c r="F65" s="313"/>
      <c r="G65" s="313"/>
      <c r="H65" s="313"/>
      <c r="I65" s="313"/>
      <c r="J65" s="313"/>
      <c r="K65" s="313"/>
      <c r="L65" s="313"/>
      <c r="M65" s="226"/>
      <c r="N65" s="341"/>
    </row>
    <row r="66" spans="1:14" ht="33" customHeight="1">
      <c r="A66" s="163" t="s">
        <v>255</v>
      </c>
      <c r="B66" s="163"/>
      <c r="C66" s="163"/>
      <c r="D66" s="163"/>
      <c r="E66" s="163"/>
      <c r="F66" s="163"/>
      <c r="G66" s="163"/>
      <c r="H66" s="163"/>
      <c r="I66" s="712" t="s">
        <v>406</v>
      </c>
      <c r="J66" s="713"/>
      <c r="K66" s="713"/>
      <c r="L66" s="713"/>
      <c r="M66" s="713"/>
      <c r="N66" s="713"/>
    </row>
    <row r="67" spans="1:14" ht="28.35" customHeight="1">
      <c r="A67" s="306" t="s">
        <v>405</v>
      </c>
      <c r="B67" s="163"/>
      <c r="C67" s="163"/>
      <c r="D67" s="163"/>
      <c r="E67" s="163"/>
      <c r="F67" s="163"/>
      <c r="G67" s="163"/>
      <c r="H67" s="163"/>
      <c r="I67" s="714"/>
      <c r="J67" s="714"/>
      <c r="K67" s="714"/>
      <c r="L67" s="714"/>
      <c r="M67" s="714"/>
      <c r="N67" s="714"/>
    </row>
    <row r="68" spans="1:14" ht="14.1" customHeight="1">
      <c r="A68" s="719"/>
      <c r="B68" s="719"/>
      <c r="C68" s="719"/>
      <c r="D68" s="719"/>
      <c r="E68" s="719"/>
      <c r="F68" s="719"/>
      <c r="G68" s="719"/>
      <c r="H68" s="342"/>
      <c r="I68" s="714"/>
      <c r="J68" s="714"/>
      <c r="K68" s="714"/>
      <c r="L68" s="714"/>
      <c r="M68" s="714"/>
      <c r="N68" s="714"/>
    </row>
    <row r="69" spans="1:14" ht="12.75" customHeight="1">
      <c r="A69" s="296"/>
      <c r="B69" s="163"/>
      <c r="C69" s="163"/>
      <c r="D69" s="163"/>
      <c r="E69" s="163"/>
      <c r="F69" s="163"/>
      <c r="G69" s="163"/>
      <c r="H69" s="163"/>
      <c r="I69" s="710" t="s">
        <v>403</v>
      </c>
      <c r="J69" s="710"/>
      <c r="K69" s="710"/>
      <c r="L69" s="710"/>
      <c r="M69" s="710"/>
      <c r="N69" s="710"/>
    </row>
    <row r="70" spans="1:14" ht="14.1" customHeight="1">
      <c r="A70" s="719"/>
      <c r="B70" s="719"/>
      <c r="C70" s="719"/>
      <c r="D70" s="719"/>
      <c r="E70" s="719"/>
      <c r="F70" s="719"/>
      <c r="G70" s="719"/>
      <c r="H70" s="163"/>
      <c r="I70" s="163"/>
      <c r="J70" s="163"/>
      <c r="K70" s="163"/>
      <c r="L70" s="163"/>
      <c r="M70" s="163"/>
      <c r="N70" s="163"/>
    </row>
    <row r="71" spans="1:14" ht="28.35" customHeight="1">
      <c r="A71" s="343"/>
      <c r="B71" s="344"/>
      <c r="C71" s="344"/>
      <c r="D71" s="344"/>
      <c r="E71" s="344"/>
      <c r="F71" s="344"/>
      <c r="G71" s="344"/>
      <c r="H71" s="344"/>
      <c r="I71" s="169"/>
      <c r="J71" s="169"/>
      <c r="K71" s="166"/>
      <c r="L71" s="166"/>
      <c r="M71" s="166"/>
      <c r="N71" s="166"/>
    </row>
    <row r="72" spans="1:14" ht="17.25">
      <c r="A72" s="342"/>
      <c r="B72" s="296"/>
      <c r="C72" s="296"/>
      <c r="D72" s="296"/>
      <c r="E72" s="296"/>
      <c r="F72" s="296"/>
      <c r="G72" s="296"/>
      <c r="H72" s="296"/>
      <c r="I72" s="169"/>
      <c r="J72" s="169"/>
      <c r="K72" s="344"/>
      <c r="L72" s="344"/>
      <c r="M72" s="344"/>
      <c r="N72" s="344"/>
    </row>
    <row r="73" spans="1:14" ht="17.25">
      <c r="I73" s="169"/>
      <c r="J73" s="169"/>
      <c r="K73" s="718"/>
      <c r="L73" s="718"/>
      <c r="M73" s="718"/>
      <c r="N73" s="718"/>
    </row>
  </sheetData>
  <sheetProtection algorithmName="SHA-512" hashValue="z7WtfSDOjZ/aUUOUgPHUCBYwPAvwFqj9unZbxE6R2YXJ5Z6K/vq5d1JBtJWtLluMX/yjuICgWTEKvptHYLbNfw==" saltValue="pyyldotZBzXZLVxJSOYF7A==" spinCount="100000" sheet="1" selectLockedCells="1"/>
  <mergeCells count="49">
    <mergeCell ref="K73:N73"/>
    <mergeCell ref="D39:H39"/>
    <mergeCell ref="A68:G68"/>
    <mergeCell ref="A70:G70"/>
    <mergeCell ref="B64:C64"/>
    <mergeCell ref="C44:D44"/>
    <mergeCell ref="E44:G44"/>
    <mergeCell ref="B59:E59"/>
    <mergeCell ref="E64:L64"/>
    <mergeCell ref="H44:K44"/>
    <mergeCell ref="B50:D50"/>
    <mergeCell ref="G50:I50"/>
    <mergeCell ref="A58:E58"/>
    <mergeCell ref="I69:N69"/>
    <mergeCell ref="H32:I32"/>
    <mergeCell ref="J39:K39"/>
    <mergeCell ref="A60:E60"/>
    <mergeCell ref="J37:K37"/>
    <mergeCell ref="I66:N66"/>
    <mergeCell ref="I67:N68"/>
    <mergeCell ref="B35:K35"/>
    <mergeCell ref="J33:K33"/>
    <mergeCell ref="G33:H33"/>
    <mergeCell ref="J30:K30"/>
    <mergeCell ref="H29:I29"/>
    <mergeCell ref="A2:M2"/>
    <mergeCell ref="E22:H22"/>
    <mergeCell ref="J20:K20"/>
    <mergeCell ref="E20:H20"/>
    <mergeCell ref="I22:N23"/>
    <mergeCell ref="A4:E4"/>
    <mergeCell ref="A6:E6"/>
    <mergeCell ref="A8:E8"/>
    <mergeCell ref="K6:N6"/>
    <mergeCell ref="H6:J6"/>
    <mergeCell ref="H8:M8"/>
    <mergeCell ref="H12:M12"/>
    <mergeCell ref="M13:N13"/>
    <mergeCell ref="E18:H18"/>
    <mergeCell ref="A10:E10"/>
    <mergeCell ref="A12:E12"/>
    <mergeCell ref="H10:M10"/>
    <mergeCell ref="G30:H30"/>
    <mergeCell ref="J27:K27"/>
    <mergeCell ref="J18:K18"/>
    <mergeCell ref="H16:K16"/>
    <mergeCell ref="B16:F16"/>
    <mergeCell ref="H13:K13"/>
    <mergeCell ref="G27:H27"/>
  </mergeCells>
  <phoneticPr fontId="7" type="noConversion"/>
  <conditionalFormatting sqref="A22:A23">
    <cfRule type="expression" dxfId="43" priority="10">
      <formula>IF(E18 &lt;&gt; E20, TRUE, FALSE)</formula>
    </cfRule>
  </conditionalFormatting>
  <conditionalFormatting sqref="A52">
    <cfRule type="expression" dxfId="42" priority="32" stopIfTrue="1">
      <formula>IF(OR($B$52 &lt;&gt; "",$G$52 &lt;&gt; ""), TRUE,0)</formula>
    </cfRule>
  </conditionalFormatting>
  <conditionalFormatting sqref="A54">
    <cfRule type="expression" dxfId="41" priority="33" stopIfTrue="1">
      <formula>IF(OR($B$54 &lt;&gt; "",$G$54 &lt;&gt; ""), TRUE,0)</formula>
    </cfRule>
  </conditionalFormatting>
  <conditionalFormatting sqref="A56">
    <cfRule type="expression" dxfId="40" priority="31" stopIfTrue="1">
      <formula>IF(OR($B$56 &lt;&gt; "",$G$56 &lt;&gt; ""), TRUE,0)</formula>
    </cfRule>
  </conditionalFormatting>
  <conditionalFormatting sqref="B30">
    <cfRule type="expression" dxfId="38" priority="44" stopIfTrue="1">
      <formula>IF(H29 = "Sammelrechnung", TRUE,0)</formula>
    </cfRule>
  </conditionalFormatting>
  <conditionalFormatting sqref="B52:D52">
    <cfRule type="expression" dxfId="36" priority="38" stopIfTrue="1">
      <formula>IF($B$52 &lt;&gt; "", TRUE,0)</formula>
    </cfRule>
  </conditionalFormatting>
  <conditionalFormatting sqref="B54:D54">
    <cfRule type="expression" dxfId="35" priority="37" stopIfTrue="1">
      <formula>IF($B$54 &lt;&gt; "", TRUE,0)</formula>
    </cfRule>
  </conditionalFormatting>
  <conditionalFormatting sqref="B56:D56">
    <cfRule type="expression" dxfId="34" priority="36" stopIfTrue="1">
      <formula>IF($B$56 &lt;&gt; "", TRUE,0)</formula>
    </cfRule>
  </conditionalFormatting>
  <conditionalFormatting sqref="B35:K35">
    <cfRule type="expression" dxfId="33" priority="11">
      <formula>IF(B33=0, TRUE, FALSE)</formula>
    </cfRule>
  </conditionalFormatting>
  <conditionalFormatting sqref="D22">
    <cfRule type="expression" dxfId="32" priority="9">
      <formula>IF(E18 &lt;&gt; E20, TRUE, FALSE)</formula>
    </cfRule>
  </conditionalFormatting>
  <conditionalFormatting sqref="E22:H23">
    <cfRule type="expression" dxfId="31" priority="8">
      <formula>IF(E18 &lt;&gt; E20, TRUE, FALSE)</formula>
    </cfRule>
  </conditionalFormatting>
  <conditionalFormatting sqref="G52:I52">
    <cfRule type="expression" dxfId="27" priority="39" stopIfTrue="1">
      <formula>IF($G$52 &lt;&gt; "", TRUE,0)</formula>
    </cfRule>
  </conditionalFormatting>
  <conditionalFormatting sqref="G54:I54">
    <cfRule type="expression" dxfId="26" priority="40" stopIfTrue="1">
      <formula>IF($G$54 &lt;&gt; "", TRUE,0)</formula>
    </cfRule>
  </conditionalFormatting>
  <conditionalFormatting sqref="G56:I56">
    <cfRule type="expression" dxfId="25" priority="28" stopIfTrue="1">
      <formula>IF($G$56 &lt;&gt; "", TRUE,0)</formula>
    </cfRule>
  </conditionalFormatting>
  <conditionalFormatting sqref="I22:N22">
    <cfRule type="expression" dxfId="24" priority="19">
      <formula>IF(OR(E18 &lt;&gt; E20, D22 = 0), TRUE, FALSE)</formula>
    </cfRule>
    <cfRule type="expression" dxfId="23" priority="23">
      <formula>IF(AND(D22 &lt;&gt; "", D22 &gt; 0),TRUE,FALSE)</formula>
    </cfRule>
  </conditionalFormatting>
  <dataValidations count="6">
    <dataValidation type="list" allowBlank="1" showInputMessage="1" showErrorMessage="1" sqref="G61" xr:uid="{00000000-0002-0000-0200-000000000000}">
      <formula1>"Ja,Nein"</formula1>
    </dataValidation>
    <dataValidation type="list" allowBlank="1" showInputMessage="1" showErrorMessage="1" sqref="D22" xr:uid="{00000000-0002-0000-0200-000001000000}">
      <formula1>"0,1,2,3,4,5,6,7,8,9,10,11,12,13,14"</formula1>
    </dataValidation>
    <dataValidation type="list" allowBlank="1" showInputMessage="1" showErrorMessage="1" sqref="B33" xr:uid="{00000000-0002-0000-0200-000002000000}">
      <formula1>"0,1,2,3,4,5,6,7,8,9,10"</formula1>
    </dataValidation>
    <dataValidation type="date" allowBlank="1" showInputMessage="1" showErrorMessage="1" errorTitle="falsche Eingabe" error="geben Sie ein Datum im Format &quot;13.03.2017&quot; ein" promptTitle="Datum eingeben" sqref="E18:H18 E20:H20" xr:uid="{00000000-0002-0000-0200-000003000000}">
      <formula1>36526</formula1>
      <formula2>58440</formula2>
    </dataValidation>
    <dataValidation type="time" allowBlank="1" showInputMessage="1" showErrorMessage="1" errorTitle="falsche Eingabe" error="Geben Sie eine Uhrzeit im Format &quot;13:30&quot; ein" promptTitle="Uhrzeit eingeben (Format 00:00)" sqref="J18:K18 J20:K20" xr:uid="{00000000-0002-0000-0200-000004000000}">
      <formula1>0</formula1>
      <formula2>0.999305555555556</formula2>
    </dataValidation>
    <dataValidation type="list" allowBlank="1" showInputMessage="1" showErrorMessage="1" sqref="G58:G60" xr:uid="{00000000-0002-0000-0200-000005000000}">
      <formula1>"x,o"</formula1>
    </dataValidation>
  </dataValidations>
  <printOptions horizontalCentered="1" verticalCentered="1"/>
  <pageMargins left="0" right="0" top="0" bottom="0" header="0" footer="0"/>
  <pageSetup paperSize="9"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85BCFC07-0060-A945-8CDF-33BCD16F9C38}">
            <xm:f>'Hilfsblatt ML'!$A$2 &lt; 6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A58 F58 H58:N58 A59:J59 K59:N60 A60 F60 H60:J60</xm:sqref>
        </x14:conditionalFormatting>
        <x14:conditionalFormatting xmlns:xm="http://schemas.microsoft.com/office/excel/2006/main">
          <x14:cfRule type="expression" priority="25" id="{B06185EB-1C57-416E-9EB8-D5026EBE52D5}">
            <xm:f>IF(AND('Hilfsblatt ML'!$A$2 = "", 'Hilfsblatt ML'!$B$2 &lt;&gt;""),TRUE,0)</xm:f>
            <x14:dxf>
              <font>
                <color rgb="FF969696"/>
              </font>
            </x14:dxf>
          </x14:cfRule>
          <xm:sqref>B50:D56</xm:sqref>
        </x14:conditionalFormatting>
        <x14:conditionalFormatting xmlns:xm="http://schemas.microsoft.com/office/excel/2006/main">
          <x14:cfRule type="expression" priority="4" id="{C95D6C36-03B7-0646-8658-2F0510C44237}">
            <xm:f>'Hilfsblatt ML'!$A$2 &lt; 6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</x14:dxf>
          </x14:cfRule>
          <xm:sqref>G58</xm:sqref>
        </x14:conditionalFormatting>
        <x14:conditionalFormatting xmlns:xm="http://schemas.microsoft.com/office/excel/2006/main">
          <x14:cfRule type="expression" priority="3" id="{E373E15F-8143-5249-B6E6-926AA688C498}">
            <xm:f>'Hilfsblatt ML'!$A$2 &lt; 6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</x14:dxf>
          </x14:cfRule>
          <xm:sqref>G60</xm:sqref>
        </x14:conditionalFormatting>
        <x14:conditionalFormatting xmlns:xm="http://schemas.microsoft.com/office/excel/2006/main">
          <x14:cfRule type="expression" priority="26" id="{01669BD5-6262-42C3-815C-F7C21AAC9D82}">
            <xm:f>IF(AND('Hilfsblatt ML'!$B$2 = "", 'Hilfsblatt ML'!$A$2 &lt;&gt;""),TRUE,0)</xm:f>
            <x14:dxf>
              <font>
                <color rgb="FF969696"/>
              </font>
            </x14:dxf>
          </x14:cfRule>
          <xm:sqref>G50:I56</xm:sqref>
        </x14:conditionalFormatting>
        <x14:conditionalFormatting xmlns:xm="http://schemas.microsoft.com/office/excel/2006/main">
          <x14:cfRule type="expression" priority="7" id="{1F3486F0-EFBF-5A47-9EBE-D5675585D54D}">
            <xm:f>'Hilfsblatt ML'!$A$2 &gt;=6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L56:N56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6000000}">
          <x14:formula1>
            <xm:f>Tagessätze!$A$3:$A$9</xm:f>
          </x14:formula1>
          <xm:sqref>K6:N6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15A06-8EDB-44C9-A6ED-47CF9BE691E3}">
  <sheetPr>
    <tabColor rgb="FF00B0F0"/>
    <pageSetUpPr fitToPage="1"/>
  </sheetPr>
  <dimension ref="A1:AD64"/>
  <sheetViews>
    <sheetView showGridLines="0" topLeftCell="A12" zoomScale="110" zoomScaleNormal="110" zoomScaleSheetLayoutView="140" workbookViewId="0">
      <selection activeCell="C20" sqref="C20"/>
    </sheetView>
  </sheetViews>
  <sheetFormatPr baseColWidth="10" defaultColWidth="10.85546875" defaultRowHeight="14.25"/>
  <cols>
    <col min="1" max="1" width="16.85546875" style="122" customWidth="1"/>
    <col min="2" max="7" width="6.85546875" style="122" customWidth="1"/>
    <col min="8" max="8" width="12.140625" style="122" customWidth="1"/>
    <col min="9" max="10" width="8.85546875" style="122" customWidth="1"/>
    <col min="11" max="11" width="7.7109375" style="192" customWidth="1"/>
    <col min="12" max="14" width="10.85546875" style="122"/>
    <col min="15" max="15" width="16.5703125" style="122" bestFit="1" customWidth="1"/>
    <col min="16" max="16384" width="10.85546875" style="122"/>
  </cols>
  <sheetData>
    <row r="1" spans="1:30" ht="5.0999999999999996" customHeight="1"/>
    <row r="2" spans="1:30" ht="37.5">
      <c r="A2" s="653" t="s">
        <v>78</v>
      </c>
      <c r="B2" s="653"/>
      <c r="C2" s="653"/>
      <c r="D2" s="653"/>
      <c r="E2" s="653"/>
      <c r="F2" s="653"/>
      <c r="G2" s="653"/>
      <c r="H2" s="653"/>
      <c r="I2" s="161"/>
      <c r="J2" s="161"/>
      <c r="K2" s="438"/>
    </row>
    <row r="3" spans="1:30">
      <c r="G3" s="417" t="str">
        <f>Deckblatt!K3</f>
        <v>BBV Form</v>
      </c>
      <c r="H3" s="418" t="str">
        <f>Deckblatt!L3</f>
        <v>01/2025</v>
      </c>
      <c r="I3" s="123"/>
    </row>
    <row r="4" spans="1:30" ht="3" customHeight="1"/>
    <row r="5" spans="1:30" ht="15.75" customHeight="1">
      <c r="A5" s="620" t="s">
        <v>324</v>
      </c>
      <c r="B5" s="621"/>
      <c r="C5" s="632"/>
      <c r="D5" s="633"/>
      <c r="E5" s="633"/>
      <c r="F5" s="633"/>
      <c r="G5" s="540"/>
      <c r="H5" s="634"/>
      <c r="J5" s="398" t="s">
        <v>174</v>
      </c>
      <c r="N5" s="163"/>
      <c r="O5" s="226"/>
      <c r="P5" s="226"/>
      <c r="Q5" s="226"/>
      <c r="R5" s="163"/>
    </row>
    <row r="6" spans="1:30" ht="15.75" customHeight="1">
      <c r="A6" s="622" t="s">
        <v>3</v>
      </c>
      <c r="B6" s="623"/>
      <c r="C6" s="624"/>
      <c r="D6" s="625"/>
      <c r="E6" s="625"/>
      <c r="F6" s="625"/>
      <c r="G6" s="626"/>
      <c r="H6" s="627"/>
      <c r="J6" s="233"/>
      <c r="N6" s="163"/>
      <c r="O6" s="226"/>
      <c r="P6" s="226"/>
      <c r="Q6" s="226"/>
      <c r="R6" s="163"/>
    </row>
    <row r="7" spans="1:30" ht="5.25" customHeight="1">
      <c r="G7" s="163"/>
      <c r="N7" s="163"/>
      <c r="O7" s="226"/>
      <c r="P7" s="226"/>
      <c r="Q7" s="226"/>
      <c r="R7" s="163"/>
    </row>
    <row r="8" spans="1:30" ht="3" customHeight="1">
      <c r="A8" s="234"/>
      <c r="B8" s="234"/>
      <c r="C8" s="234"/>
      <c r="D8" s="234"/>
      <c r="E8" s="234"/>
      <c r="F8" s="234"/>
      <c r="G8" s="234"/>
      <c r="H8" s="234"/>
      <c r="I8" s="234"/>
      <c r="J8" s="234"/>
      <c r="N8" s="163"/>
      <c r="O8" s="226"/>
      <c r="P8" s="226"/>
      <c r="Q8" s="226"/>
      <c r="R8" s="163"/>
    </row>
    <row r="9" spans="1:30" ht="6" customHeight="1">
      <c r="A9" s="235"/>
      <c r="B9" s="236"/>
      <c r="C9" s="236"/>
      <c r="D9" s="236"/>
      <c r="E9" s="236"/>
      <c r="F9" s="236"/>
      <c r="G9" s="236"/>
      <c r="H9" s="236"/>
      <c r="I9" s="236"/>
      <c r="J9" s="237"/>
      <c r="N9" s="163"/>
      <c r="O9" s="226"/>
      <c r="P9" s="226"/>
      <c r="Q9" s="226"/>
      <c r="R9" s="163"/>
    </row>
    <row r="10" spans="1:30" ht="15.75" customHeight="1">
      <c r="A10" s="238" t="s">
        <v>79</v>
      </c>
      <c r="B10" s="163"/>
      <c r="C10" s="163"/>
      <c r="D10" s="163"/>
      <c r="E10" s="163"/>
      <c r="F10" s="163"/>
      <c r="G10" s="163"/>
      <c r="H10" s="313" t="s">
        <v>51</v>
      </c>
      <c r="I10" s="663" t="s">
        <v>329</v>
      </c>
      <c r="J10" s="664"/>
      <c r="N10" s="163"/>
      <c r="O10" s="226"/>
      <c r="P10" s="226"/>
      <c r="Q10" s="226"/>
      <c r="R10" s="163"/>
      <c r="Y10" s="192"/>
      <c r="Z10" s="192"/>
      <c r="AA10" s="192"/>
    </row>
    <row r="11" spans="1:30" ht="6" customHeight="1">
      <c r="A11" s="238"/>
      <c r="B11" s="163"/>
      <c r="C11" s="163"/>
      <c r="D11" s="163"/>
      <c r="E11" s="163"/>
      <c r="F11" s="163"/>
      <c r="G11" s="163"/>
      <c r="H11" s="163"/>
      <c r="I11" s="163"/>
      <c r="J11" s="239"/>
      <c r="N11" s="163"/>
      <c r="O11" s="226"/>
      <c r="P11" s="226"/>
      <c r="Q11" s="226"/>
      <c r="R11" s="163"/>
      <c r="Y11" s="192"/>
      <c r="Z11" s="192"/>
      <c r="AA11" s="192"/>
    </row>
    <row r="12" spans="1:30" ht="15" customHeight="1">
      <c r="A12" s="628" t="s">
        <v>280</v>
      </c>
      <c r="B12" s="629"/>
      <c r="C12" s="630"/>
      <c r="D12" s="631" t="s">
        <v>63</v>
      </c>
      <c r="E12" s="631"/>
      <c r="F12" s="631"/>
      <c r="G12" s="631"/>
      <c r="H12" s="295" t="s">
        <v>270</v>
      </c>
      <c r="I12" s="645" t="s">
        <v>414</v>
      </c>
      <c r="J12" s="646"/>
      <c r="N12" s="163"/>
      <c r="O12" s="226"/>
      <c r="P12" s="226"/>
      <c r="Q12" s="226"/>
      <c r="R12" s="163"/>
      <c r="V12" s="163"/>
      <c r="W12" s="226"/>
      <c r="X12" s="226"/>
      <c r="Y12" s="412"/>
      <c r="Z12" s="411"/>
      <c r="AA12" s="192"/>
    </row>
    <row r="13" spans="1:30" ht="15.75" customHeight="1">
      <c r="A13" s="654"/>
      <c r="B13" s="655"/>
      <c r="C13" s="403"/>
      <c r="D13" s="403"/>
      <c r="E13" s="403"/>
      <c r="F13" s="403"/>
      <c r="G13" s="403"/>
      <c r="H13" s="404" t="s">
        <v>338</v>
      </c>
      <c r="I13" s="661" t="s">
        <v>326</v>
      </c>
      <c r="J13" s="662"/>
      <c r="V13" s="163"/>
      <c r="W13" s="226"/>
      <c r="X13" s="226"/>
      <c r="Y13" s="412"/>
      <c r="Z13" s="411"/>
      <c r="AA13" s="192"/>
    </row>
    <row r="14" spans="1:30" ht="15" customHeight="1">
      <c r="A14" s="643" t="s">
        <v>286</v>
      </c>
      <c r="B14" s="630"/>
      <c r="C14" s="644"/>
      <c r="D14" s="635"/>
      <c r="E14" s="635"/>
      <c r="F14" s="635"/>
      <c r="G14" s="635"/>
      <c r="H14" s="635"/>
      <c r="I14" s="635"/>
      <c r="J14" s="636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411"/>
      <c r="W14" s="412"/>
      <c r="X14" s="412"/>
      <c r="Y14" s="412"/>
      <c r="Z14" s="411"/>
      <c r="AA14" s="192"/>
      <c r="AB14" s="192"/>
      <c r="AC14" s="192"/>
      <c r="AD14" s="192"/>
    </row>
    <row r="15" spans="1:30" ht="15.75" customHeight="1">
      <c r="A15" s="293" t="s">
        <v>278</v>
      </c>
      <c r="B15" s="656"/>
      <c r="C15" s="656"/>
      <c r="D15" s="656"/>
      <c r="E15" s="294" t="s">
        <v>180</v>
      </c>
      <c r="F15" s="657"/>
      <c r="G15" s="657"/>
      <c r="H15" s="657"/>
      <c r="I15" s="657"/>
      <c r="J15" s="658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411"/>
      <c r="W15" s="412"/>
      <c r="X15" s="412"/>
      <c r="Y15" s="412"/>
      <c r="Z15" s="411"/>
      <c r="AA15" s="192"/>
      <c r="AB15" s="192"/>
      <c r="AC15" s="192"/>
      <c r="AD15" s="192"/>
    </row>
    <row r="16" spans="1:30" ht="3" customHeight="1">
      <c r="A16" s="240"/>
      <c r="B16" s="241"/>
      <c r="C16" s="241"/>
      <c r="D16" s="241"/>
      <c r="E16" s="241"/>
      <c r="F16" s="241"/>
      <c r="G16" s="241"/>
      <c r="H16" s="241"/>
      <c r="I16" s="241"/>
      <c r="J16" s="24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411"/>
      <c r="W16" s="412"/>
      <c r="X16" s="412"/>
      <c r="Y16" s="412"/>
      <c r="Z16" s="411"/>
      <c r="AA16" s="192"/>
      <c r="AB16" s="192"/>
      <c r="AC16" s="192"/>
      <c r="AD16" s="192"/>
    </row>
    <row r="17" spans="1:30">
      <c r="A17" s="243" t="s">
        <v>8</v>
      </c>
      <c r="B17" s="244" t="s">
        <v>80</v>
      </c>
      <c r="C17" s="245"/>
      <c r="D17" s="246" t="s">
        <v>81</v>
      </c>
      <c r="E17" s="245"/>
      <c r="F17" s="659" t="s">
        <v>82</v>
      </c>
      <c r="G17" s="660"/>
      <c r="H17" s="243" t="s">
        <v>83</v>
      </c>
      <c r="I17" s="659" t="s">
        <v>89</v>
      </c>
      <c r="J17" s="660"/>
      <c r="L17" s="192"/>
      <c r="M17" s="192"/>
      <c r="N17" s="192"/>
      <c r="O17" s="192" t="str">
        <f>IF(D12=S18,"Sonst",IF(D12=S20,"Sonst",IF(D12=S19,"Sonst","BBV")))</f>
        <v>BBV</v>
      </c>
      <c r="P17" s="432" t="str">
        <f>I13&amp;O17</f>
        <v>Referierende allg.BBV</v>
      </c>
      <c r="Q17" s="192"/>
      <c r="R17" s="192"/>
      <c r="S17" s="192" t="s">
        <v>63</v>
      </c>
      <c r="T17" s="192"/>
      <c r="U17" s="192"/>
      <c r="V17" s="411"/>
      <c r="W17" s="412" t="s">
        <v>258</v>
      </c>
      <c r="X17" s="412" t="s">
        <v>334</v>
      </c>
      <c r="Y17" s="412" t="s">
        <v>335</v>
      </c>
      <c r="Z17" s="411"/>
      <c r="AA17" s="192"/>
      <c r="AB17" s="192"/>
      <c r="AC17" s="192"/>
      <c r="AD17" s="192"/>
    </row>
    <row r="18" spans="1:30">
      <c r="A18" s="247" t="s">
        <v>1</v>
      </c>
      <c r="B18" s="248" t="s">
        <v>84</v>
      </c>
      <c r="C18" s="249" t="s">
        <v>85</v>
      </c>
      <c r="D18" s="250" t="s">
        <v>86</v>
      </c>
      <c r="E18" s="251" t="s">
        <v>87</v>
      </c>
      <c r="F18" s="250" t="s">
        <v>84</v>
      </c>
      <c r="G18" s="251" t="s">
        <v>85</v>
      </c>
      <c r="H18" s="252" t="s">
        <v>287</v>
      </c>
      <c r="I18" s="253" t="s">
        <v>73</v>
      </c>
      <c r="J18" s="254"/>
      <c r="L18" s="192"/>
      <c r="M18" s="192"/>
      <c r="N18" s="192"/>
      <c r="O18" s="192"/>
      <c r="P18" s="192"/>
      <c r="Q18" s="192"/>
      <c r="R18" s="192"/>
      <c r="S18" s="192" t="s">
        <v>201</v>
      </c>
      <c r="T18" s="192"/>
      <c r="U18" s="192"/>
      <c r="V18" s="411" t="s">
        <v>63</v>
      </c>
      <c r="W18" s="412"/>
      <c r="X18" s="412"/>
      <c r="Y18" s="412"/>
      <c r="Z18" s="411"/>
      <c r="AA18" s="192"/>
      <c r="AB18" s="192"/>
      <c r="AC18" s="192"/>
      <c r="AD18" s="192"/>
    </row>
    <row r="19" spans="1:30">
      <c r="A19" s="255"/>
      <c r="B19" s="256"/>
      <c r="C19" s="257"/>
      <c r="D19" s="258"/>
      <c r="E19" s="259"/>
      <c r="F19" s="258"/>
      <c r="G19" s="259"/>
      <c r="H19" s="262" t="str">
        <f>IF('Hilfsblatt Assi'!D6 &lt;&gt; "", 'Hilfsblatt Assi'!D6, "")</f>
        <v/>
      </c>
      <c r="I19" s="260" t="str">
        <f>IF(AND($I$35 &lt;&gt; "", H19 &lt;&gt; "", $I$36 &lt;&gt; ""), IF($I$36 &lt; H19*$I$35,$I$36, H19*$I$35 ),"")</f>
        <v/>
      </c>
      <c r="J19" s="260" t="str">
        <f>IF(AND(I19 &gt; 0, I19 = $I$36), "Tagessatz", "")</f>
        <v/>
      </c>
      <c r="K19" s="433" t="str">
        <f>IF(AND($I$12="Schiedsrichter*in",A19&lt;&gt;""),10,"")</f>
        <v/>
      </c>
      <c r="L19" s="192"/>
      <c r="M19" s="192"/>
      <c r="N19" s="192"/>
      <c r="O19" s="192"/>
      <c r="P19" s="192"/>
      <c r="Q19" s="192"/>
      <c r="R19" s="192"/>
      <c r="S19" s="192" t="s">
        <v>264</v>
      </c>
      <c r="T19" s="192"/>
      <c r="U19" s="192"/>
      <c r="V19" s="411" t="s">
        <v>328</v>
      </c>
      <c r="W19" s="412">
        <v>0</v>
      </c>
      <c r="X19" s="412">
        <v>35</v>
      </c>
      <c r="Y19" s="412">
        <v>70</v>
      </c>
      <c r="Z19" s="411" t="str">
        <f>IF($I$10=$V$19,"sonst",IF($I$10=$V$20,"sonst",IF($I$10=$V$21,"sonst",IF($I$10=$V$22,"sonst",IF($I$10=$V$23,"sonst",IF($I$10=$V$24,"sonst","BBV"))))))</f>
        <v>sonst</v>
      </c>
      <c r="AA19" s="192"/>
      <c r="AB19" s="192"/>
      <c r="AC19" s="192"/>
      <c r="AD19" s="192"/>
    </row>
    <row r="20" spans="1:30">
      <c r="A20" s="261"/>
      <c r="B20" s="258"/>
      <c r="C20" s="259"/>
      <c r="D20" s="258"/>
      <c r="E20" s="259"/>
      <c r="F20" s="258"/>
      <c r="G20" s="259"/>
      <c r="H20" s="262" t="str">
        <f>IF('Hilfsblatt Assi'!D7 &lt;&gt; "", 'Hilfsblatt Assi'!D7, "")</f>
        <v/>
      </c>
      <c r="I20" s="260" t="str">
        <f t="shared" ref="I20:I30" si="0">IF(AND($I$35 &lt;&gt; "", H20 &lt;&gt; "", $I$36 &lt;&gt; ""), IF($I$36 &lt; H20*$I$35,$I$36, H20*$I$35 ),"")</f>
        <v/>
      </c>
      <c r="J20" s="260" t="str">
        <f t="shared" ref="J20:J30" si="1">IF(AND(I20 &gt;0, I20 = $I$36), "Tagessatz", "")</f>
        <v/>
      </c>
      <c r="K20" s="433" t="str">
        <f t="shared" ref="K20:K30" si="2">IF(AND($I$12="Schiedsrichter*in",A20&lt;&gt;""),10,"")</f>
        <v/>
      </c>
      <c r="L20" s="192"/>
      <c r="M20" s="192"/>
      <c r="N20" s="192"/>
      <c r="O20" s="192" t="str">
        <f>IF(I12="Maßnahmenleitung","5","6")</f>
        <v>6</v>
      </c>
      <c r="P20" s="192"/>
      <c r="Q20" s="192"/>
      <c r="R20" s="192"/>
      <c r="S20" s="192" t="s">
        <v>204</v>
      </c>
      <c r="T20" s="192"/>
      <c r="U20" s="192"/>
      <c r="V20" s="411" t="s">
        <v>329</v>
      </c>
      <c r="W20" s="412">
        <v>0</v>
      </c>
      <c r="X20" s="412">
        <v>35</v>
      </c>
      <c r="Y20" s="412">
        <v>70</v>
      </c>
      <c r="Z20" s="411"/>
      <c r="AA20" s="192"/>
      <c r="AB20" s="192"/>
      <c r="AC20" s="192"/>
      <c r="AD20" s="192"/>
    </row>
    <row r="21" spans="1:30">
      <c r="A21" s="263"/>
      <c r="B21" s="258"/>
      <c r="C21" s="259"/>
      <c r="D21" s="258"/>
      <c r="E21" s="259"/>
      <c r="F21" s="258"/>
      <c r="G21" s="259"/>
      <c r="H21" s="262" t="str">
        <f>IF('Hilfsblatt Assi'!D8 &lt;&gt; "", 'Hilfsblatt Assi'!D8, "")</f>
        <v/>
      </c>
      <c r="I21" s="260" t="str">
        <f t="shared" si="0"/>
        <v/>
      </c>
      <c r="J21" s="260" t="str">
        <f t="shared" si="1"/>
        <v/>
      </c>
      <c r="K21" s="433" t="str">
        <f t="shared" si="2"/>
        <v/>
      </c>
      <c r="L21" s="192"/>
      <c r="M21" s="192"/>
      <c r="N21" s="192"/>
      <c r="O21" s="192"/>
      <c r="P21" s="192"/>
      <c r="Q21" s="192"/>
      <c r="R21" s="192"/>
      <c r="S21" s="192" t="s">
        <v>202</v>
      </c>
      <c r="T21" s="192"/>
      <c r="U21" s="192"/>
      <c r="V21" s="411" t="s">
        <v>330</v>
      </c>
      <c r="W21" s="412">
        <v>0</v>
      </c>
      <c r="X21" s="412">
        <v>35</v>
      </c>
      <c r="Y21" s="412">
        <v>70</v>
      </c>
      <c r="Z21" s="411"/>
      <c r="AA21" s="192"/>
      <c r="AB21" s="192"/>
      <c r="AC21" s="192"/>
      <c r="AD21" s="192"/>
    </row>
    <row r="22" spans="1:30">
      <c r="A22" s="263"/>
      <c r="B22" s="258"/>
      <c r="C22" s="259"/>
      <c r="D22" s="258"/>
      <c r="E22" s="259"/>
      <c r="F22" s="258"/>
      <c r="G22" s="259"/>
      <c r="H22" s="262" t="str">
        <f>IF('Hilfsblatt Assi'!D9 &lt;&gt; "", 'Hilfsblatt Assi'!D9, "")</f>
        <v/>
      </c>
      <c r="I22" s="260" t="str">
        <f t="shared" si="0"/>
        <v/>
      </c>
      <c r="J22" s="260" t="str">
        <f t="shared" si="1"/>
        <v/>
      </c>
      <c r="K22" s="433" t="str">
        <f t="shared" si="2"/>
        <v/>
      </c>
      <c r="L22" s="192"/>
      <c r="M22" s="192"/>
      <c r="N22" s="192"/>
      <c r="O22" s="192"/>
      <c r="P22" s="192"/>
      <c r="Q22" s="192"/>
      <c r="R22" s="192"/>
      <c r="S22" s="192" t="s">
        <v>203</v>
      </c>
      <c r="T22" s="192"/>
      <c r="U22" s="192"/>
      <c r="V22" s="411" t="s">
        <v>331</v>
      </c>
      <c r="W22" s="412">
        <v>0</v>
      </c>
      <c r="X22" s="412">
        <v>35</v>
      </c>
      <c r="Y22" s="412">
        <v>70</v>
      </c>
      <c r="Z22" s="411"/>
      <c r="AA22" s="192"/>
      <c r="AB22" s="192"/>
      <c r="AC22" s="192"/>
      <c r="AD22" s="192"/>
    </row>
    <row r="23" spans="1:30">
      <c r="A23" s="263"/>
      <c r="B23" s="258"/>
      <c r="C23" s="259"/>
      <c r="D23" s="258"/>
      <c r="E23" s="259"/>
      <c r="F23" s="258"/>
      <c r="G23" s="259"/>
      <c r="H23" s="262" t="str">
        <f>IF('Hilfsblatt Assi'!D10 &lt;&gt; "", 'Hilfsblatt Assi'!D10, "")</f>
        <v/>
      </c>
      <c r="I23" s="260" t="str">
        <f t="shared" si="0"/>
        <v/>
      </c>
      <c r="J23" s="260" t="str">
        <f t="shared" si="1"/>
        <v/>
      </c>
      <c r="K23" s="433" t="str">
        <f t="shared" si="2"/>
        <v/>
      </c>
      <c r="L23" s="192"/>
      <c r="M23" s="192"/>
      <c r="N23" s="192"/>
      <c r="O23" s="192"/>
      <c r="P23" s="192"/>
      <c r="Q23" s="192"/>
      <c r="R23" s="192"/>
      <c r="S23" s="192" t="s">
        <v>200</v>
      </c>
      <c r="T23" s="192"/>
      <c r="U23" s="192"/>
      <c r="V23" s="411" t="s">
        <v>332</v>
      </c>
      <c r="W23" s="412">
        <v>0</v>
      </c>
      <c r="X23" s="412">
        <v>35</v>
      </c>
      <c r="Y23" s="412">
        <v>70</v>
      </c>
      <c r="Z23" s="411"/>
      <c r="AA23" s="192"/>
      <c r="AB23" s="192"/>
      <c r="AC23" s="192"/>
      <c r="AD23" s="192"/>
    </row>
    <row r="24" spans="1:30">
      <c r="A24" s="263"/>
      <c r="B24" s="258"/>
      <c r="C24" s="259"/>
      <c r="D24" s="258"/>
      <c r="E24" s="259"/>
      <c r="F24" s="258"/>
      <c r="G24" s="259"/>
      <c r="H24" s="262" t="str">
        <f>IF('Hilfsblatt Assi'!D11 &lt;&gt; "", 'Hilfsblatt Assi'!D11, "")</f>
        <v/>
      </c>
      <c r="I24" s="260" t="str">
        <f t="shared" si="0"/>
        <v/>
      </c>
      <c r="J24" s="260" t="str">
        <f t="shared" si="1"/>
        <v/>
      </c>
      <c r="K24" s="433" t="str">
        <f t="shared" si="2"/>
        <v/>
      </c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411" t="s">
        <v>333</v>
      </c>
      <c r="W24" s="412">
        <v>0</v>
      </c>
      <c r="X24" s="412">
        <v>35</v>
      </c>
      <c r="Y24" s="412">
        <v>70</v>
      </c>
      <c r="Z24" s="411"/>
      <c r="AA24" s="192"/>
      <c r="AB24" s="192"/>
      <c r="AC24" s="192"/>
      <c r="AD24" s="192"/>
    </row>
    <row r="25" spans="1:30">
      <c r="A25" s="263"/>
      <c r="B25" s="258"/>
      <c r="C25" s="259"/>
      <c r="D25" s="258"/>
      <c r="E25" s="259"/>
      <c r="F25" s="258"/>
      <c r="G25" s="259"/>
      <c r="H25" s="262" t="str">
        <f>IF('Hilfsblatt Assi'!D12 &lt;&gt; "", 'Hilfsblatt Assi'!D12, "")</f>
        <v/>
      </c>
      <c r="I25" s="260" t="str">
        <f t="shared" si="0"/>
        <v/>
      </c>
      <c r="J25" s="260" t="str">
        <f t="shared" si="1"/>
        <v/>
      </c>
      <c r="K25" s="433" t="str">
        <f t="shared" si="2"/>
        <v/>
      </c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</row>
    <row r="26" spans="1:30">
      <c r="A26" s="263"/>
      <c r="B26" s="258"/>
      <c r="C26" s="259"/>
      <c r="D26" s="258"/>
      <c r="E26" s="259"/>
      <c r="F26" s="258"/>
      <c r="G26" s="259"/>
      <c r="H26" s="262" t="str">
        <f>IF('Hilfsblatt Assi'!D13 &lt;&gt; "", 'Hilfsblatt Assi'!D13, "")</f>
        <v/>
      </c>
      <c r="I26" s="260" t="str">
        <f t="shared" si="0"/>
        <v/>
      </c>
      <c r="J26" s="260" t="str">
        <f t="shared" si="1"/>
        <v/>
      </c>
      <c r="K26" s="433" t="str">
        <f t="shared" si="2"/>
        <v/>
      </c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411" t="s">
        <v>258</v>
      </c>
      <c r="W26" s="412" t="s">
        <v>63</v>
      </c>
      <c r="X26" s="412" t="str">
        <f>W26&amp;V26</f>
        <v>BBVnein</v>
      </c>
      <c r="Y26" s="431">
        <v>0</v>
      </c>
      <c r="Z26" s="192"/>
      <c r="AA26" s="192"/>
      <c r="AB26" s="192"/>
      <c r="AC26" s="192"/>
      <c r="AD26" s="192"/>
    </row>
    <row r="27" spans="1:30">
      <c r="A27" s="263"/>
      <c r="B27" s="258"/>
      <c r="C27" s="259"/>
      <c r="D27" s="258"/>
      <c r="E27" s="259"/>
      <c r="F27" s="258"/>
      <c r="G27" s="259"/>
      <c r="H27" s="262" t="str">
        <f>IF('Hilfsblatt Assi'!D14 &lt;&gt; "", 'Hilfsblatt Assi'!D14, "")</f>
        <v/>
      </c>
      <c r="I27" s="260" t="str">
        <f t="shared" si="0"/>
        <v/>
      </c>
      <c r="J27" s="260" t="str">
        <f t="shared" si="1"/>
        <v/>
      </c>
      <c r="K27" s="433" t="str">
        <f t="shared" si="2"/>
        <v/>
      </c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411" t="s">
        <v>334</v>
      </c>
      <c r="W27" s="412" t="s">
        <v>63</v>
      </c>
      <c r="X27" s="412" t="str">
        <f t="shared" ref="X27:X33" si="3">W27&amp;V27</f>
        <v>BBVja, 1 Tag</v>
      </c>
      <c r="Y27" s="431">
        <v>35</v>
      </c>
      <c r="Z27" s="192"/>
      <c r="AA27" s="192"/>
      <c r="AB27" s="192"/>
      <c r="AC27" s="192"/>
      <c r="AD27" s="192"/>
    </row>
    <row r="28" spans="1:30">
      <c r="A28" s="263"/>
      <c r="B28" s="258"/>
      <c r="C28" s="259"/>
      <c r="D28" s="258"/>
      <c r="E28" s="264"/>
      <c r="F28" s="265"/>
      <c r="G28" s="264"/>
      <c r="H28" s="262" t="str">
        <f>IF('Hilfsblatt Assi'!D15 &lt;&gt; "", 'Hilfsblatt Assi'!D15, "")</f>
        <v/>
      </c>
      <c r="I28" s="260" t="str">
        <f t="shared" si="0"/>
        <v/>
      </c>
      <c r="J28" s="260" t="str">
        <f t="shared" si="1"/>
        <v/>
      </c>
      <c r="K28" s="433" t="str">
        <f t="shared" si="2"/>
        <v/>
      </c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411" t="s">
        <v>335</v>
      </c>
      <c r="W28" s="412" t="s">
        <v>63</v>
      </c>
      <c r="X28" s="412" t="str">
        <f t="shared" si="3"/>
        <v>BBVja, 2 Tage</v>
      </c>
      <c r="Y28" s="431">
        <v>70</v>
      </c>
      <c r="Z28" s="192"/>
      <c r="AA28" s="192"/>
      <c r="AB28" s="192"/>
      <c r="AC28" s="192"/>
      <c r="AD28" s="192"/>
    </row>
    <row r="29" spans="1:30">
      <c r="A29" s="263"/>
      <c r="B29" s="258"/>
      <c r="C29" s="259"/>
      <c r="D29" s="258"/>
      <c r="E29" s="259"/>
      <c r="F29" s="266"/>
      <c r="G29" s="264"/>
      <c r="H29" s="262" t="str">
        <f>IF('Hilfsblatt Assi'!D16 &lt;&gt; "", 'Hilfsblatt Assi'!D16, "")</f>
        <v/>
      </c>
      <c r="I29" s="260" t="str">
        <f t="shared" si="0"/>
        <v/>
      </c>
      <c r="J29" s="260" t="str">
        <f t="shared" si="1"/>
        <v/>
      </c>
      <c r="K29" s="433" t="str">
        <f t="shared" si="2"/>
        <v/>
      </c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411"/>
      <c r="W29" s="412"/>
      <c r="X29" s="412" t="str">
        <f t="shared" si="3"/>
        <v/>
      </c>
      <c r="Y29" s="412"/>
      <c r="Z29" s="192"/>
      <c r="AA29" s="192"/>
      <c r="AB29" s="192"/>
      <c r="AC29" s="192"/>
      <c r="AD29" s="192"/>
    </row>
    <row r="30" spans="1:30">
      <c r="A30" s="268"/>
      <c r="B30" s="269"/>
      <c r="C30" s="270"/>
      <c r="D30" s="271"/>
      <c r="E30" s="272"/>
      <c r="F30" s="273"/>
      <c r="G30" s="274"/>
      <c r="H30" s="262" t="str">
        <f>IF('Hilfsblatt Assi'!D17 &lt;&gt; "", 'Hilfsblatt Assi'!D17, "")</f>
        <v/>
      </c>
      <c r="I30" s="260" t="str">
        <f t="shared" si="0"/>
        <v/>
      </c>
      <c r="J30" s="260" t="str">
        <f t="shared" si="1"/>
        <v/>
      </c>
      <c r="K30" s="433" t="str">
        <f t="shared" si="2"/>
        <v/>
      </c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411" t="s">
        <v>258</v>
      </c>
      <c r="W30" s="412" t="s">
        <v>336</v>
      </c>
      <c r="X30" s="412" t="str">
        <f t="shared" si="3"/>
        <v>sonstnein</v>
      </c>
      <c r="Y30" s="431">
        <v>0</v>
      </c>
      <c r="Z30" s="192"/>
      <c r="AA30" s="192"/>
      <c r="AB30" s="192"/>
      <c r="AC30" s="192"/>
      <c r="AD30" s="192"/>
    </row>
    <row r="31" spans="1:30" ht="13.5" customHeight="1" thickBot="1">
      <c r="A31" s="275" t="s">
        <v>172</v>
      </c>
      <c r="B31" s="276"/>
      <c r="C31" s="276"/>
      <c r="D31" s="276"/>
      <c r="E31" s="277"/>
      <c r="F31" s="641" t="s">
        <v>90</v>
      </c>
      <c r="G31" s="642"/>
      <c r="H31" s="278" t="str">
        <f>IF(COUNT(H19:H30) &gt; 0, SUM(H19:H30), "")</f>
        <v/>
      </c>
      <c r="I31" s="279" t="s">
        <v>91</v>
      </c>
      <c r="J31" s="280" t="str">
        <f>IF(COUNT(I19:I30) &gt; 0, SUM(I19:I30), "")</f>
        <v/>
      </c>
      <c r="K31" s="439">
        <f>IF(COUNT(K19:KJ30) &gt; 0, SUM(K19:K30), "")</f>
        <v>0</v>
      </c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411" t="s">
        <v>334</v>
      </c>
      <c r="W31" s="412" t="s">
        <v>336</v>
      </c>
      <c r="X31" s="412" t="str">
        <f t="shared" si="3"/>
        <v>sonstja, 1 Tag</v>
      </c>
      <c r="Y31" s="431">
        <v>35</v>
      </c>
      <c r="Z31" s="192"/>
      <c r="AA31" s="192"/>
      <c r="AB31" s="192"/>
      <c r="AC31" s="192"/>
      <c r="AD31" s="192"/>
    </row>
    <row r="32" spans="1:30" ht="10.5" customHeight="1" thickTop="1">
      <c r="A32" s="275"/>
      <c r="B32" s="276"/>
      <c r="C32" s="276"/>
      <c r="D32" s="276"/>
      <c r="E32" s="276"/>
      <c r="F32" s="171"/>
      <c r="G32" s="171"/>
      <c r="H32" s="437" t="str">
        <f>IF($I$12="Schiedsrichter*in","Anteil des BBV","")</f>
        <v/>
      </c>
      <c r="I32" s="435"/>
      <c r="J32" s="436" t="str">
        <f>IF($I$12="Schiedsrichter*in",J31-K31,"")</f>
        <v/>
      </c>
      <c r="K32" s="434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411"/>
      <c r="W32" s="412"/>
      <c r="X32" s="412"/>
      <c r="Y32" s="431"/>
      <c r="Z32" s="192"/>
      <c r="AA32" s="192"/>
      <c r="AB32" s="192"/>
      <c r="AC32" s="192"/>
      <c r="AD32" s="192"/>
    </row>
    <row r="33" spans="1:30" ht="9.75" customHeight="1">
      <c r="A33" s="275"/>
      <c r="B33" s="276"/>
      <c r="C33" s="276"/>
      <c r="D33" s="276"/>
      <c r="E33" s="276"/>
      <c r="F33" s="164"/>
      <c r="G33" s="171"/>
      <c r="H33" s="437" t="str">
        <f>IF($I$12="Schiedsrichter*in","Anteil des Bezirks","")</f>
        <v/>
      </c>
      <c r="I33" s="437" t="str">
        <f>IF(I12="Schiedsrichter*in",I10,"")</f>
        <v/>
      </c>
      <c r="J33" s="436" t="str">
        <f>IF($I$12="Schiedsrichter*in",K31,"")</f>
        <v/>
      </c>
      <c r="K33" s="191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411" t="s">
        <v>335</v>
      </c>
      <c r="W33" s="412" t="s">
        <v>336</v>
      </c>
      <c r="X33" s="412" t="str">
        <f t="shared" si="3"/>
        <v>sonstja, 2 Tage</v>
      </c>
      <c r="Y33" s="431">
        <v>70</v>
      </c>
      <c r="Z33" s="192"/>
      <c r="AA33" s="192"/>
      <c r="AB33" s="192"/>
      <c r="AC33" s="192"/>
      <c r="AD33" s="192"/>
    </row>
    <row r="34" spans="1:30" ht="3" customHeight="1">
      <c r="A34" s="234"/>
      <c r="B34" s="234"/>
      <c r="C34" s="234"/>
      <c r="D34" s="234"/>
      <c r="E34" s="234"/>
      <c r="F34" s="234"/>
      <c r="G34" s="281"/>
      <c r="H34" s="234"/>
      <c r="I34" s="234"/>
      <c r="J34" s="234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</row>
    <row r="35" spans="1:30" ht="12.95" customHeight="1">
      <c r="A35" s="651" t="s">
        <v>88</v>
      </c>
      <c r="B35" s="651"/>
      <c r="C35" s="651"/>
      <c r="D35" s="651"/>
      <c r="E35" s="651"/>
      <c r="F35" s="570"/>
      <c r="G35" s="282" t="s">
        <v>92</v>
      </c>
      <c r="H35" s="282"/>
      <c r="I35" s="442">
        <f>VLOOKUP(P17,Honorarsätze!C24:H36,4,0)</f>
        <v>30</v>
      </c>
      <c r="J35" s="283" t="s">
        <v>73</v>
      </c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</row>
    <row r="36" spans="1:30" ht="12.95" customHeight="1">
      <c r="A36" s="652"/>
      <c r="B36" s="570"/>
      <c r="C36" s="570"/>
      <c r="D36" s="570"/>
      <c r="E36" s="570"/>
      <c r="F36" s="570"/>
      <c r="G36" s="282" t="s">
        <v>179</v>
      </c>
      <c r="H36" s="282"/>
      <c r="I36" s="442">
        <f>IF(I12="Maßnahmenleitung",VLOOKUP(P17,Honorarsätze!C24:H36,O20,0),IF(I12="Assistenz",VLOOKUP(P17,Honorarsätze!C24:H36,O20,0),IF(I12="Schiedsrichter*in",IF(Z19="sonst",35,35),125)))</f>
        <v>100</v>
      </c>
      <c r="J36" s="282" t="s">
        <v>73</v>
      </c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</row>
    <row r="37" spans="1:30" ht="3" customHeight="1">
      <c r="A37" s="234"/>
      <c r="B37" s="234"/>
      <c r="C37" s="234"/>
      <c r="D37" s="234"/>
      <c r="E37" s="234"/>
      <c r="F37" s="284"/>
      <c r="G37" s="285"/>
      <c r="H37" s="286"/>
      <c r="I37" s="286"/>
      <c r="J37" s="285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</row>
    <row r="38" spans="1:30" ht="12.95" customHeight="1">
      <c r="A38" s="122" t="str">
        <f>CONCATENATE("Der Gesamtbetrag von ",IF(AND(J31="",I36=""),"          €",IF(AND(F36="x",I36&lt;&gt;""),CONCATENATE(I36," €"),TEXT(J31,"##0,00 €"))), " ist auf o.g. Konto zu überweisen.")</f>
        <v>Der Gesamtbetrag von  ist auf o.g. Konto zu überweisen.</v>
      </c>
      <c r="F38" s="287"/>
      <c r="G38" s="288"/>
      <c r="H38" s="288"/>
      <c r="I38" s="288"/>
      <c r="J38" s="288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</row>
    <row r="39" spans="1:30" ht="3" customHeight="1">
      <c r="A39" s="234"/>
      <c r="B39" s="234"/>
      <c r="C39" s="234"/>
      <c r="D39" s="234"/>
      <c r="E39" s="234"/>
      <c r="F39" s="289"/>
      <c r="G39" s="286"/>
      <c r="H39" s="286"/>
      <c r="I39" s="286"/>
      <c r="J39" s="286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</row>
    <row r="40" spans="1:30" ht="12.95" customHeight="1">
      <c r="A40" s="649" t="s">
        <v>106</v>
      </c>
      <c r="B40" s="649"/>
      <c r="C40" s="649"/>
      <c r="D40" s="649"/>
      <c r="E40" s="649"/>
      <c r="F40" s="650"/>
      <c r="G40" s="647" t="s">
        <v>100</v>
      </c>
      <c r="H40" s="648"/>
      <c r="I40" s="648"/>
      <c r="J40" s="648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</row>
    <row r="41" spans="1:30" ht="12.95" customHeight="1">
      <c r="A41" s="638" t="s">
        <v>259</v>
      </c>
      <c r="B41" s="639"/>
      <c r="C41" s="639"/>
      <c r="D41" s="639"/>
      <c r="E41" s="639"/>
      <c r="F41" s="640"/>
      <c r="G41" s="618" t="s">
        <v>102</v>
      </c>
      <c r="H41" s="619"/>
      <c r="I41" s="637" t="s">
        <v>104</v>
      </c>
      <c r="J41" s="619"/>
    </row>
    <row r="42" spans="1:30" ht="12.95" customHeight="1">
      <c r="A42" s="648" t="s">
        <v>94</v>
      </c>
      <c r="B42" s="648"/>
      <c r="C42" s="648"/>
      <c r="D42" s="648"/>
      <c r="E42" s="648"/>
      <c r="F42" s="668"/>
      <c r="G42" s="665" t="s">
        <v>103</v>
      </c>
      <c r="H42" s="639"/>
      <c r="I42" s="638" t="s">
        <v>105</v>
      </c>
      <c r="J42" s="666"/>
    </row>
    <row r="43" spans="1:30" ht="12.95" customHeight="1">
      <c r="A43" s="667" t="s">
        <v>98</v>
      </c>
      <c r="B43" s="667"/>
      <c r="C43" s="667"/>
      <c r="D43" s="667"/>
      <c r="E43" s="667"/>
      <c r="F43" s="290" t="s">
        <v>77</v>
      </c>
      <c r="G43" s="669" t="s">
        <v>77</v>
      </c>
      <c r="H43" s="670"/>
      <c r="I43" s="671" t="s">
        <v>77</v>
      </c>
      <c r="J43" s="672"/>
    </row>
    <row r="44" spans="1:30" ht="12.95" customHeight="1">
      <c r="A44" s="667" t="s">
        <v>99</v>
      </c>
      <c r="B44" s="667"/>
      <c r="C44" s="667"/>
      <c r="D44" s="667"/>
      <c r="E44" s="667"/>
      <c r="F44" s="290" t="s">
        <v>19</v>
      </c>
      <c r="G44" s="683" t="s">
        <v>77</v>
      </c>
      <c r="H44" s="672"/>
      <c r="I44" s="673" t="s">
        <v>77</v>
      </c>
      <c r="J44" s="674"/>
    </row>
    <row r="45" spans="1:30" ht="3" customHeight="1">
      <c r="A45" s="234"/>
      <c r="B45" s="234"/>
      <c r="C45" s="234"/>
      <c r="D45" s="234"/>
      <c r="E45" s="234"/>
      <c r="F45" s="234"/>
      <c r="G45" s="234"/>
      <c r="H45" s="234"/>
      <c r="I45" s="234"/>
      <c r="J45" s="234"/>
    </row>
    <row r="46" spans="1:30" ht="5.0999999999999996" customHeight="1"/>
    <row r="47" spans="1:30" ht="6.75" customHeight="1">
      <c r="B47" s="291"/>
      <c r="C47" s="291"/>
      <c r="D47" s="291"/>
      <c r="E47" s="291"/>
    </row>
    <row r="48" spans="1:30" ht="12.75" customHeight="1">
      <c r="A48" s="291" t="s">
        <v>101</v>
      </c>
      <c r="B48" s="291"/>
      <c r="C48" s="291"/>
      <c r="D48" s="291"/>
      <c r="E48" s="291"/>
      <c r="G48" s="685" t="s">
        <v>195</v>
      </c>
      <c r="H48" s="686"/>
      <c r="I48" s="686"/>
      <c r="J48" s="687"/>
    </row>
    <row r="49" spans="1:10">
      <c r="A49" s="291" t="s">
        <v>285</v>
      </c>
      <c r="B49" s="291"/>
      <c r="C49" s="291"/>
      <c r="D49" s="291"/>
      <c r="E49" s="291"/>
      <c r="G49" s="688" t="s">
        <v>404</v>
      </c>
      <c r="H49" s="689"/>
      <c r="I49" s="689"/>
      <c r="J49" s="690"/>
    </row>
    <row r="50" spans="1:10">
      <c r="A50" s="675"/>
      <c r="B50" s="675"/>
      <c r="C50" s="675"/>
      <c r="D50" s="675"/>
      <c r="G50" s="677"/>
      <c r="H50" s="678"/>
      <c r="I50" s="678"/>
      <c r="J50" s="679"/>
    </row>
    <row r="51" spans="1:10">
      <c r="A51" s="675"/>
      <c r="B51" s="675"/>
      <c r="C51" s="675"/>
      <c r="D51" s="675"/>
      <c r="G51" s="677"/>
      <c r="H51" s="678"/>
      <c r="I51" s="678"/>
      <c r="J51" s="679"/>
    </row>
    <row r="52" spans="1:10">
      <c r="A52" s="675"/>
      <c r="B52" s="675"/>
      <c r="C52" s="675"/>
      <c r="D52" s="675"/>
      <c r="E52" s="522"/>
      <c r="G52" s="680"/>
      <c r="H52" s="681"/>
      <c r="I52" s="681"/>
      <c r="J52" s="682"/>
    </row>
    <row r="53" spans="1:10">
      <c r="A53" s="676" t="s">
        <v>260</v>
      </c>
      <c r="B53" s="676"/>
      <c r="C53" s="676"/>
      <c r="D53" s="676"/>
      <c r="E53" s="521"/>
      <c r="G53" s="691" t="s">
        <v>403</v>
      </c>
      <c r="H53" s="692"/>
      <c r="I53" s="692"/>
      <c r="J53" s="693"/>
    </row>
    <row r="55" spans="1:10">
      <c r="G55" s="684"/>
      <c r="H55" s="684"/>
      <c r="I55" s="684"/>
      <c r="J55" s="684"/>
    </row>
    <row r="56" spans="1:10">
      <c r="G56" s="684"/>
      <c r="H56" s="684"/>
      <c r="I56" s="684"/>
      <c r="J56" s="684"/>
    </row>
    <row r="57" spans="1:10">
      <c r="G57" s="581"/>
      <c r="H57" s="581"/>
      <c r="I57" s="581"/>
      <c r="J57" s="581"/>
    </row>
    <row r="63" spans="1:10">
      <c r="H63" s="292"/>
    </row>
    <row r="64" spans="1:10">
      <c r="H64" s="163"/>
    </row>
  </sheetData>
  <sheetProtection algorithmName="SHA-512" hashValue="OTgj+LVnwaczZF/7McP3nEipqGeWHJvppHOGCJAY1Aj3P76uGl1hrupoinGggunUi8lymN2U9kqE3K6yD1oSIg==" saltValue="nrAeTlqt9Kx+enJCzv+vxQ==" spinCount="100000" sheet="1" selectLockedCells="1"/>
  <mergeCells count="42">
    <mergeCell ref="I10:J10"/>
    <mergeCell ref="A2:H2"/>
    <mergeCell ref="A5:B5"/>
    <mergeCell ref="C5:H5"/>
    <mergeCell ref="A6:B6"/>
    <mergeCell ref="C6:H6"/>
    <mergeCell ref="A35:F35"/>
    <mergeCell ref="A12:C12"/>
    <mergeCell ref="D12:G12"/>
    <mergeCell ref="I12:J12"/>
    <mergeCell ref="A13:B13"/>
    <mergeCell ref="I13:J13"/>
    <mergeCell ref="A14:C14"/>
    <mergeCell ref="D14:J14"/>
    <mergeCell ref="B15:D15"/>
    <mergeCell ref="F15:J15"/>
    <mergeCell ref="F17:G17"/>
    <mergeCell ref="I17:J17"/>
    <mergeCell ref="F31:G31"/>
    <mergeCell ref="A36:F36"/>
    <mergeCell ref="A40:F40"/>
    <mergeCell ref="G40:J40"/>
    <mergeCell ref="A41:F41"/>
    <mergeCell ref="G41:H41"/>
    <mergeCell ref="I41:J41"/>
    <mergeCell ref="A42:F42"/>
    <mergeCell ref="G42:H42"/>
    <mergeCell ref="I42:J42"/>
    <mergeCell ref="A43:E43"/>
    <mergeCell ref="G43:H43"/>
    <mergeCell ref="I43:J43"/>
    <mergeCell ref="A53:D53"/>
    <mergeCell ref="G53:J53"/>
    <mergeCell ref="G55:J56"/>
    <mergeCell ref="G57:J57"/>
    <mergeCell ref="A44:E44"/>
    <mergeCell ref="G44:H44"/>
    <mergeCell ref="I44:J44"/>
    <mergeCell ref="G48:J48"/>
    <mergeCell ref="G49:J49"/>
    <mergeCell ref="A50:D52"/>
    <mergeCell ref="G50:J52"/>
  </mergeCells>
  <dataValidations count="5">
    <dataValidation type="list" allowBlank="1" showInputMessage="1" showErrorMessage="1" sqref="I10:J10" xr:uid="{A6295D2E-F61E-4D9D-A9AE-5E8B7C6AAEDA}">
      <formula1>"bitte wählen, MFR, UFR, OFR, OBB, NBO, SWN"</formula1>
    </dataValidation>
    <dataValidation type="list" allowBlank="1" showInputMessage="1" showErrorMessage="1" sqref="I13:J13" xr:uid="{3C775F0D-7EDF-46C0-895D-4BC7B9522722}">
      <formula1>"Diplom-Trainer*in, A-Trainer*in, B-Trainer*in, C-Trainer*in, andere*r Trainer*in, Referierende allg."</formula1>
    </dataValidation>
    <dataValidation type="list" allowBlank="1" showInputMessage="1" showErrorMessage="1" sqref="C13" xr:uid="{73569EC8-03DB-43DD-818F-0097D100139A}">
      <formula1>"Diplom-Trainer*in, A-Trainer*in, B-Trainer*in, C-Trainer*in, andere*r Trainer*in, Dozent*in SR GLG"</formula1>
    </dataValidation>
    <dataValidation type="list" allowBlank="1" showInputMessage="1" showErrorMessage="1" sqref="I12:J12" xr:uid="{BC7E603A-4716-4A04-8F76-239340CF9B32}">
      <formula1>"bitte wählen, Maßnahmenleitung, Assistenz, Turnierausschuss, Schiedsrichter*in, Referee"</formula1>
    </dataValidation>
    <dataValidation type="list" allowBlank="1" showInputMessage="1" showErrorMessage="1" sqref="I43:I44 F43:G44" xr:uid="{8CCB845B-BD2F-492D-8998-0A539F96263D}">
      <formula1>"x,o"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96E88-1308-405D-BAE6-56F1D5E10361}">
  <sheetPr>
    <tabColor rgb="FF00B0F0"/>
    <pageSetUpPr fitToPage="1"/>
  </sheetPr>
  <dimension ref="A1:N73"/>
  <sheetViews>
    <sheetView showGridLines="0" showWhiteSpace="0" topLeftCell="A23" zoomScaleNormal="100" zoomScaleSheetLayoutView="140" zoomScalePageLayoutView="130" workbookViewId="0">
      <selection activeCell="D30" sqref="D30"/>
    </sheetView>
  </sheetViews>
  <sheetFormatPr baseColWidth="10" defaultColWidth="11" defaultRowHeight="14.25"/>
  <cols>
    <col min="1" max="1" width="17.28515625" style="122" customWidth="1"/>
    <col min="2" max="2" width="4.7109375" style="122" customWidth="1"/>
    <col min="3" max="3" width="5.85546875" style="122" customWidth="1"/>
    <col min="4" max="4" width="8.42578125" style="122" customWidth="1"/>
    <col min="5" max="5" width="3.42578125" style="122" customWidth="1"/>
    <col min="6" max="6" width="1.7109375" style="122" customWidth="1"/>
    <col min="7" max="7" width="4.7109375" style="122" customWidth="1"/>
    <col min="8" max="8" width="6.85546875" style="122" customWidth="1"/>
    <col min="9" max="9" width="8.42578125" style="122" customWidth="1"/>
    <col min="10" max="10" width="2.28515625" style="122" customWidth="1"/>
    <col min="11" max="11" width="11.7109375" style="122" customWidth="1"/>
    <col min="12" max="12" width="2.85546875" style="122" customWidth="1"/>
    <col min="13" max="13" width="2.42578125" style="122" customWidth="1"/>
    <col min="14" max="14" width="12" style="122" customWidth="1"/>
    <col min="15" max="15" width="5" style="122" customWidth="1"/>
    <col min="16" max="16384" width="11" style="122"/>
  </cols>
  <sheetData>
    <row r="1" spans="1:14" ht="9.9499999999999993" customHeight="1"/>
    <row r="2" spans="1:14" ht="29.1" customHeight="1">
      <c r="A2" s="653" t="s">
        <v>0</v>
      </c>
      <c r="B2" s="653"/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162"/>
    </row>
    <row r="3" spans="1:14" ht="11.45" customHeight="1">
      <c r="A3" s="190" t="s">
        <v>1</v>
      </c>
      <c r="B3" s="163"/>
      <c r="C3" s="163"/>
      <c r="D3" s="163"/>
      <c r="E3" s="163"/>
      <c r="F3" s="163"/>
      <c r="G3" s="163"/>
      <c r="H3" s="163"/>
      <c r="I3" s="163"/>
      <c r="J3" s="420" t="str">
        <f>Deckblatt!K3</f>
        <v>BBV Form</v>
      </c>
      <c r="K3" s="421" t="str">
        <f>Deckblatt!L3</f>
        <v>01/2025</v>
      </c>
      <c r="L3" s="163"/>
      <c r="M3" s="419"/>
      <c r="N3" s="193"/>
    </row>
    <row r="4" spans="1:14" ht="15" customHeight="1">
      <c r="A4" s="695"/>
      <c r="B4" s="695"/>
      <c r="C4" s="695"/>
      <c r="D4" s="695"/>
      <c r="E4" s="695"/>
      <c r="F4" s="163"/>
      <c r="G4" s="163"/>
      <c r="H4" s="348" t="s">
        <v>97</v>
      </c>
      <c r="I4" s="348"/>
      <c r="J4" s="348"/>
      <c r="K4" s="348"/>
      <c r="L4" s="348"/>
      <c r="M4" s="349"/>
      <c r="N4" s="349"/>
    </row>
    <row r="5" spans="1:14" ht="9.9499999999999993" customHeight="1">
      <c r="A5" s="296" t="s">
        <v>324</v>
      </c>
      <c r="B5" s="163"/>
      <c r="C5" s="163"/>
      <c r="D5" s="163"/>
      <c r="E5" s="163"/>
      <c r="F5" s="163"/>
      <c r="G5" s="163"/>
      <c r="H5" s="350"/>
      <c r="I5" s="350"/>
      <c r="J5" s="350"/>
      <c r="K5" s="350"/>
      <c r="L5" s="350"/>
      <c r="M5" s="350"/>
      <c r="N5" s="350"/>
    </row>
    <row r="6" spans="1:14" ht="15" customHeight="1">
      <c r="A6" s="695"/>
      <c r="B6" s="695"/>
      <c r="C6" s="695"/>
      <c r="D6" s="695"/>
      <c r="E6" s="695"/>
      <c r="G6" s="163"/>
      <c r="H6" s="707" t="s">
        <v>2</v>
      </c>
      <c r="I6" s="708"/>
      <c r="J6" s="708"/>
      <c r="K6" s="705" t="s">
        <v>63</v>
      </c>
      <c r="L6" s="706"/>
      <c r="M6" s="706"/>
      <c r="N6" s="706"/>
    </row>
    <row r="7" spans="1:14" ht="9.9499999999999993" customHeight="1">
      <c r="A7" s="296" t="s">
        <v>3</v>
      </c>
      <c r="B7" s="163"/>
      <c r="C7" s="163"/>
      <c r="D7" s="163"/>
      <c r="E7" s="163"/>
      <c r="F7" s="163"/>
      <c r="G7" s="163"/>
      <c r="H7" s="350"/>
      <c r="I7" s="350"/>
      <c r="J7" s="350"/>
      <c r="K7" s="350"/>
      <c r="L7" s="350"/>
      <c r="M7" s="350"/>
      <c r="N7" s="350"/>
    </row>
    <row r="8" spans="1:14" ht="15" customHeight="1">
      <c r="A8" s="695"/>
      <c r="B8" s="695"/>
      <c r="C8" s="695"/>
      <c r="D8" s="695"/>
      <c r="E8" s="695"/>
      <c r="G8" s="163"/>
      <c r="H8" s="696" t="str">
        <f>VLOOKUP($K$6,Tagessätze!$A$3:$P$9,13)</f>
        <v>Geschäftsstelle</v>
      </c>
      <c r="I8" s="696"/>
      <c r="J8" s="696"/>
      <c r="K8" s="696"/>
      <c r="L8" s="696"/>
      <c r="M8" s="696"/>
      <c r="N8" s="349"/>
    </row>
    <row r="9" spans="1:14" ht="9.9499999999999993" customHeight="1">
      <c r="A9" s="296" t="s">
        <v>269</v>
      </c>
      <c r="B9" s="163" t="s">
        <v>1</v>
      </c>
      <c r="C9" s="163"/>
      <c r="D9" s="297"/>
      <c r="E9" s="163"/>
      <c r="F9" s="163"/>
      <c r="G9" s="163"/>
      <c r="H9" s="350"/>
      <c r="I9" s="350"/>
      <c r="J9" s="350"/>
      <c r="K9" s="350"/>
      <c r="L9" s="350"/>
      <c r="M9" s="350"/>
      <c r="N9" s="350"/>
    </row>
    <row r="10" spans="1:14" ht="14.85" customHeight="1">
      <c r="A10" s="695"/>
      <c r="B10" s="695"/>
      <c r="C10" s="695"/>
      <c r="D10" s="695"/>
      <c r="E10" s="695"/>
      <c r="G10" s="163"/>
      <c r="H10" s="696" t="str">
        <f>VLOOKUP($K$6,Tagessätze!$A$3:$P$9,14)</f>
        <v>Postfach 50 01 20</v>
      </c>
      <c r="I10" s="696"/>
      <c r="J10" s="696"/>
      <c r="K10" s="696"/>
      <c r="L10" s="696"/>
      <c r="M10" s="696"/>
      <c r="N10" s="349"/>
    </row>
    <row r="11" spans="1:14" ht="9.9499999999999993" customHeight="1">
      <c r="A11" s="296" t="s">
        <v>270</v>
      </c>
      <c r="B11" s="163" t="s">
        <v>1</v>
      </c>
      <c r="C11" s="163"/>
      <c r="D11" s="297"/>
      <c r="E11" s="163"/>
      <c r="F11" s="163"/>
      <c r="G11" s="163"/>
      <c r="H11" s="350"/>
      <c r="I11" s="350"/>
      <c r="J11" s="350"/>
      <c r="K11" s="350"/>
      <c r="L11" s="350"/>
      <c r="M11" s="350"/>
      <c r="N11" s="350"/>
    </row>
    <row r="12" spans="1:14" ht="14.85" customHeight="1">
      <c r="A12" s="695"/>
      <c r="B12" s="695"/>
      <c r="C12" s="695"/>
      <c r="D12" s="695"/>
      <c r="E12" s="695"/>
      <c r="G12" s="163"/>
      <c r="H12" s="696" t="str">
        <f>CONCATENATE(VLOOKUP($K$6,Tagessätze!$A$3:$P$9,15)," ",VLOOKUP($K$6,Tagessätze!$A$3:$P$9,16))</f>
        <v>80971 München</v>
      </c>
      <c r="I12" s="696"/>
      <c r="J12" s="696"/>
      <c r="K12" s="696"/>
      <c r="L12" s="696"/>
      <c r="M12" s="696"/>
      <c r="N12" s="348"/>
    </row>
    <row r="13" spans="1:14" ht="9.9499999999999993" customHeight="1">
      <c r="A13" s="296" t="s">
        <v>254</v>
      </c>
      <c r="B13" s="163" t="s">
        <v>1</v>
      </c>
      <c r="C13" s="163"/>
      <c r="D13" s="297"/>
      <c r="E13" s="163"/>
      <c r="F13" s="163"/>
      <c r="G13" s="163"/>
      <c r="H13" s="709"/>
      <c r="I13" s="709"/>
      <c r="J13" s="709"/>
      <c r="K13" s="709"/>
      <c r="L13" s="298"/>
      <c r="M13" s="709"/>
      <c r="N13" s="709"/>
    </row>
    <row r="14" spans="1:14" ht="6.95" customHeight="1">
      <c r="A14" s="345"/>
      <c r="B14" s="345"/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</row>
    <row r="15" spans="1:14" s="299" customFormat="1" ht="2.85" customHeight="1">
      <c r="A15" s="297"/>
      <c r="B15" s="297"/>
      <c r="C15" s="297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</row>
    <row r="16" spans="1:14" ht="15.75" customHeight="1">
      <c r="A16" s="300" t="s">
        <v>4</v>
      </c>
      <c r="B16" s="715"/>
      <c r="C16" s="715"/>
      <c r="D16" s="715"/>
      <c r="E16" s="715"/>
      <c r="F16" s="715"/>
      <c r="G16" s="226" t="s">
        <v>5</v>
      </c>
      <c r="H16" s="715"/>
      <c r="I16" s="715"/>
      <c r="J16" s="715"/>
      <c r="K16" s="715"/>
      <c r="L16" s="163" t="s">
        <v>6</v>
      </c>
      <c r="M16" s="226"/>
      <c r="N16" s="226"/>
    </row>
    <row r="17" spans="1:14" ht="2.85" customHeight="1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</row>
    <row r="18" spans="1:14">
      <c r="A18" s="300" t="s">
        <v>7</v>
      </c>
      <c r="B18" s="163"/>
      <c r="C18" s="301"/>
      <c r="D18" s="226" t="s">
        <v>8</v>
      </c>
      <c r="E18" s="694"/>
      <c r="F18" s="694"/>
      <c r="G18" s="694"/>
      <c r="H18" s="694"/>
      <c r="I18" s="226" t="s">
        <v>9</v>
      </c>
      <c r="J18" s="701"/>
      <c r="K18" s="701"/>
      <c r="L18" s="302" t="s">
        <v>10</v>
      </c>
      <c r="M18" s="163"/>
      <c r="N18" s="301"/>
    </row>
    <row r="19" spans="1:14" ht="2.85" customHeight="1">
      <c r="A19" s="163"/>
      <c r="B19" s="163"/>
      <c r="C19" s="163"/>
      <c r="I19" s="163"/>
      <c r="J19" s="163"/>
      <c r="K19" s="163"/>
      <c r="L19" s="163"/>
      <c r="M19" s="163"/>
      <c r="N19" s="163"/>
    </row>
    <row r="20" spans="1:14">
      <c r="A20" s="300" t="s">
        <v>11</v>
      </c>
      <c r="B20" s="163"/>
      <c r="C20" s="301"/>
      <c r="D20" s="226" t="s">
        <v>8</v>
      </c>
      <c r="E20" s="694"/>
      <c r="F20" s="694"/>
      <c r="G20" s="694"/>
      <c r="H20" s="694"/>
      <c r="I20" s="226" t="s">
        <v>9</v>
      </c>
      <c r="J20" s="701"/>
      <c r="K20" s="701"/>
      <c r="L20" s="302" t="s">
        <v>10</v>
      </c>
      <c r="M20" s="163"/>
      <c r="N20" s="301"/>
    </row>
    <row r="21" spans="1:14" ht="2.85" customHeight="1">
      <c r="A21" s="292"/>
      <c r="B21" s="163"/>
      <c r="C21" s="301"/>
      <c r="D21" s="226"/>
      <c r="E21" s="303"/>
      <c r="F21" s="303"/>
      <c r="G21" s="303"/>
      <c r="H21" s="303"/>
      <c r="I21" s="226"/>
      <c r="J21" s="304"/>
      <c r="K21" s="304"/>
      <c r="L21" s="302"/>
      <c r="M21" s="163"/>
      <c r="N21" s="301"/>
    </row>
    <row r="22" spans="1:14" ht="12.75" customHeight="1">
      <c r="A22" s="305" t="s">
        <v>12</v>
      </c>
      <c r="B22" s="306"/>
      <c r="C22" s="306"/>
      <c r="D22" s="307"/>
      <c r="E22" s="700" t="str">
        <f>IF(AND(D22 &lt;&gt; "", D22 &gt; 0), IF(D22 = 1, "an folgendem Tag:","an folgenden Tagen:"),"")</f>
        <v/>
      </c>
      <c r="F22" s="700"/>
      <c r="G22" s="700"/>
      <c r="H22" s="700"/>
      <c r="I22" s="702">
        <v>45564</v>
      </c>
      <c r="J22" s="703"/>
      <c r="K22" s="703"/>
      <c r="L22" s="703"/>
      <c r="M22" s="703"/>
      <c r="N22" s="703"/>
    </row>
    <row r="23" spans="1:14" ht="12.75" customHeight="1">
      <c r="A23" s="305"/>
      <c r="B23" s="306"/>
      <c r="C23" s="306"/>
      <c r="D23" s="306"/>
      <c r="E23" s="308"/>
      <c r="F23" s="308"/>
      <c r="G23" s="308"/>
      <c r="H23" s="308"/>
      <c r="I23" s="704"/>
      <c r="J23" s="704"/>
      <c r="K23" s="704"/>
      <c r="L23" s="704"/>
      <c r="M23" s="704"/>
      <c r="N23" s="704"/>
    </row>
    <row r="24" spans="1:14" s="299" customFormat="1" ht="2.85" customHeight="1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</row>
    <row r="25" spans="1:14" ht="6.95" customHeight="1">
      <c r="A25" s="345"/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</row>
    <row r="26" spans="1:14" s="299" customFormat="1" ht="2.85" customHeight="1">
      <c r="A26" s="297"/>
      <c r="B26" s="297"/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</row>
    <row r="27" spans="1:14" ht="15" customHeight="1">
      <c r="A27" s="309" t="s">
        <v>13</v>
      </c>
      <c r="B27" s="302" t="s">
        <v>14</v>
      </c>
      <c r="C27" s="292"/>
      <c r="D27" s="163"/>
      <c r="E27" s="163"/>
      <c r="F27" s="310"/>
      <c r="G27" s="717" t="s">
        <v>15</v>
      </c>
      <c r="H27" s="717"/>
      <c r="I27" s="311" t="s">
        <v>16</v>
      </c>
      <c r="J27" s="711">
        <v>0</v>
      </c>
      <c r="K27" s="711"/>
      <c r="L27" s="163"/>
      <c r="M27" s="163"/>
      <c r="N27" s="163"/>
    </row>
    <row r="28" spans="1:14" ht="3.95" customHeight="1">
      <c r="A28" s="163"/>
      <c r="B28" s="163"/>
      <c r="C28" s="163"/>
      <c r="D28" s="163"/>
      <c r="E28" s="163"/>
      <c r="F28" s="163"/>
      <c r="G28" s="163"/>
      <c r="H28" s="163"/>
      <c r="I28" s="163"/>
      <c r="J28" s="163"/>
      <c r="K28" s="312"/>
      <c r="L28" s="163"/>
      <c r="M28" s="163"/>
      <c r="N28" s="163"/>
    </row>
    <row r="29" spans="1:14" ht="12" customHeight="1">
      <c r="A29" s="313" t="s">
        <v>1</v>
      </c>
      <c r="B29" s="302" t="s">
        <v>17</v>
      </c>
      <c r="C29" s="292"/>
      <c r="D29" s="163"/>
      <c r="E29" s="163"/>
      <c r="F29" s="163"/>
      <c r="G29" s="163"/>
      <c r="H29" s="699"/>
      <c r="I29" s="699"/>
      <c r="J29" s="163"/>
      <c r="K29" s="312"/>
      <c r="L29" s="163"/>
      <c r="M29" s="163"/>
      <c r="N29" s="163"/>
    </row>
    <row r="30" spans="1:14" ht="15" customHeight="1">
      <c r="A30" s="226"/>
      <c r="B30" s="226"/>
      <c r="C30" s="226"/>
      <c r="D30" s="314"/>
      <c r="E30" s="226" t="s">
        <v>18</v>
      </c>
      <c r="F30" s="226" t="s">
        <v>19</v>
      </c>
      <c r="G30" s="697">
        <f>VLOOKUP($K$6,Tagessätze!$A$3:$P$9,2)</f>
        <v>0.3</v>
      </c>
      <c r="H30" s="697"/>
      <c r="I30" s="311" t="s">
        <v>16</v>
      </c>
      <c r="J30" s="698">
        <f>IF(D30 &lt;&gt; "",D30*G30,0)</f>
        <v>0</v>
      </c>
      <c r="K30" s="698"/>
      <c r="L30" s="226"/>
      <c r="M30" s="315"/>
      <c r="N30" s="316"/>
    </row>
    <row r="31" spans="1:14" ht="3.95" customHeight="1">
      <c r="A31" s="163"/>
      <c r="B31" s="163"/>
      <c r="C31" s="163"/>
      <c r="D31" s="163"/>
      <c r="E31" s="163"/>
      <c r="F31" s="163"/>
      <c r="G31" s="163"/>
      <c r="H31" s="163"/>
      <c r="I31" s="163"/>
      <c r="J31" s="163"/>
      <c r="K31" s="312"/>
      <c r="L31" s="163"/>
      <c r="M31" s="163"/>
      <c r="N31" s="163"/>
    </row>
    <row r="32" spans="1:14">
      <c r="A32" s="313" t="s">
        <v>1</v>
      </c>
      <c r="B32" s="302" t="s">
        <v>20</v>
      </c>
      <c r="C32" s="292"/>
      <c r="D32" s="163"/>
      <c r="E32" s="163"/>
      <c r="F32" s="163"/>
      <c r="G32" s="163"/>
      <c r="H32" s="699"/>
      <c r="I32" s="699"/>
      <c r="J32" s="163"/>
      <c r="K32" s="312"/>
      <c r="L32" s="163"/>
      <c r="M32" s="163"/>
      <c r="N32" s="163"/>
    </row>
    <row r="33" spans="1:14" ht="15" customHeight="1">
      <c r="A33" s="226"/>
      <c r="B33" s="317"/>
      <c r="C33" s="226" t="s">
        <v>19</v>
      </c>
      <c r="D33" s="314"/>
      <c r="E33" s="311" t="s">
        <v>18</v>
      </c>
      <c r="F33" s="226" t="s">
        <v>19</v>
      </c>
      <c r="G33" s="697">
        <f>VLOOKUP($K$6,Tagessätze!$A$3:$P$9,3)</f>
        <v>0.02</v>
      </c>
      <c r="H33" s="697"/>
      <c r="I33" s="311" t="s">
        <v>16</v>
      </c>
      <c r="J33" s="698">
        <f>B33*D33*G33</f>
        <v>0</v>
      </c>
      <c r="K33" s="698"/>
      <c r="L33" s="226"/>
      <c r="M33" s="315"/>
      <c r="N33" s="316"/>
    </row>
    <row r="34" spans="1:14" ht="15" customHeight="1">
      <c r="A34" s="163"/>
      <c r="B34" s="302" t="str">
        <f>IF(B33 = 0, "",IF(H32 = "1 Person", "Namen des Mitfahrers:","Namen der Mitfahrer:"))</f>
        <v/>
      </c>
      <c r="C34" s="292"/>
      <c r="D34" s="163"/>
      <c r="E34" s="163"/>
      <c r="F34" s="163"/>
      <c r="G34" s="163"/>
      <c r="H34" s="163"/>
      <c r="I34" s="163"/>
      <c r="J34" s="163"/>
      <c r="K34" s="312"/>
      <c r="L34" s="163"/>
      <c r="M34" s="226"/>
      <c r="N34" s="318"/>
    </row>
    <row r="35" spans="1:14" ht="15" customHeight="1">
      <c r="A35" s="163"/>
      <c r="B35" s="716" t="s">
        <v>316</v>
      </c>
      <c r="C35" s="716"/>
      <c r="D35" s="716"/>
      <c r="E35" s="716"/>
      <c r="F35" s="716"/>
      <c r="G35" s="716"/>
      <c r="H35" s="716"/>
      <c r="I35" s="716"/>
      <c r="J35" s="716"/>
      <c r="K35" s="716"/>
      <c r="L35" s="163"/>
      <c r="M35" s="226"/>
      <c r="N35" s="318"/>
    </row>
    <row r="36" spans="1:14" ht="3.95" customHeight="1">
      <c r="A36" s="163"/>
      <c r="B36" s="163"/>
      <c r="C36" s="163"/>
      <c r="D36" s="163"/>
      <c r="E36" s="163"/>
      <c r="F36" s="163"/>
      <c r="G36" s="163"/>
      <c r="H36" s="163"/>
      <c r="I36" s="163"/>
      <c r="J36" s="163"/>
      <c r="K36" s="312"/>
      <c r="L36" s="163"/>
      <c r="M36" s="226"/>
      <c r="N36" s="318"/>
    </row>
    <row r="37" spans="1:14" ht="15" customHeight="1">
      <c r="A37" s="163"/>
      <c r="B37" s="302" t="s">
        <v>21</v>
      </c>
      <c r="C37" s="292"/>
      <c r="D37" s="163"/>
      <c r="E37" s="163"/>
      <c r="F37" s="163"/>
      <c r="G37" s="163"/>
      <c r="H37" s="163"/>
      <c r="I37" s="311" t="s">
        <v>16</v>
      </c>
      <c r="J37" s="711">
        <v>0</v>
      </c>
      <c r="K37" s="711"/>
      <c r="L37" s="163"/>
      <c r="M37" s="226"/>
      <c r="N37" s="318"/>
    </row>
    <row r="38" spans="1:14" ht="3.95" customHeight="1">
      <c r="A38" s="163"/>
      <c r="B38" s="163"/>
      <c r="C38" s="163"/>
      <c r="D38" s="163"/>
      <c r="E38" s="163"/>
      <c r="F38" s="163"/>
      <c r="G38" s="163"/>
      <c r="H38" s="163"/>
      <c r="I38" s="163"/>
      <c r="J38" s="163"/>
      <c r="K38" s="312"/>
      <c r="L38" s="163"/>
      <c r="M38" s="226"/>
      <c r="N38" s="318"/>
    </row>
    <row r="39" spans="1:14" ht="15" customHeight="1">
      <c r="A39" s="163"/>
      <c r="B39" s="302" t="s">
        <v>22</v>
      </c>
      <c r="C39" s="292"/>
      <c r="D39" s="716"/>
      <c r="E39" s="716"/>
      <c r="F39" s="716"/>
      <c r="G39" s="716"/>
      <c r="H39" s="716"/>
      <c r="I39" s="311" t="s">
        <v>16</v>
      </c>
      <c r="J39" s="711">
        <v>0</v>
      </c>
      <c r="K39" s="711"/>
      <c r="L39" s="226" t="s">
        <v>23</v>
      </c>
      <c r="M39" s="311" t="s">
        <v>16</v>
      </c>
      <c r="N39" s="319">
        <f>J27+J30+J33+J37+J39</f>
        <v>0</v>
      </c>
    </row>
    <row r="40" spans="1:14" ht="12.95" customHeight="1">
      <c r="A40" s="163"/>
      <c r="B40" s="302"/>
      <c r="C40" s="292"/>
      <c r="D40" s="296" t="s">
        <v>24</v>
      </c>
      <c r="E40" s="163"/>
      <c r="F40" s="163"/>
      <c r="G40" s="163"/>
      <c r="H40" s="163"/>
      <c r="I40" s="311"/>
      <c r="J40" s="320"/>
      <c r="K40" s="320"/>
      <c r="L40" s="226"/>
      <c r="M40" s="311"/>
      <c r="N40" s="319"/>
    </row>
    <row r="41" spans="1:14" ht="6.95" customHeight="1">
      <c r="A41" s="345"/>
      <c r="B41" s="345"/>
      <c r="C41" s="345"/>
      <c r="D41" s="345"/>
      <c r="E41" s="345"/>
      <c r="F41" s="345"/>
      <c r="G41" s="345"/>
      <c r="H41" s="345"/>
      <c r="I41" s="345"/>
      <c r="J41" s="345"/>
      <c r="K41" s="345"/>
      <c r="L41" s="345"/>
      <c r="M41" s="346"/>
      <c r="N41" s="347"/>
    </row>
    <row r="42" spans="1:14" s="299" customFormat="1" ht="2.85" customHeight="1">
      <c r="A42" s="297"/>
      <c r="B42" s="297"/>
      <c r="C42" s="297"/>
      <c r="D42" s="297"/>
      <c r="E42" s="297"/>
      <c r="F42" s="297"/>
      <c r="G42" s="297"/>
      <c r="H42" s="297"/>
      <c r="I42" s="297"/>
      <c r="J42" s="297"/>
      <c r="K42" s="297"/>
      <c r="L42" s="297"/>
      <c r="M42" s="315"/>
      <c r="N42" s="321"/>
    </row>
    <row r="43" spans="1:14" ht="12" customHeight="1">
      <c r="A43" s="309" t="s">
        <v>25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226"/>
      <c r="N43" s="318"/>
    </row>
    <row r="44" spans="1:14" ht="15" customHeight="1">
      <c r="A44" s="309" t="s">
        <v>26</v>
      </c>
      <c r="B44" s="317">
        <v>0</v>
      </c>
      <c r="C44" s="720" t="s">
        <v>27</v>
      </c>
      <c r="D44" s="720"/>
      <c r="E44" s="711">
        <v>0</v>
      </c>
      <c r="F44" s="711"/>
      <c r="G44" s="711"/>
      <c r="H44" s="717" t="s">
        <v>175</v>
      </c>
      <c r="I44" s="717"/>
      <c r="J44" s="717"/>
      <c r="K44" s="717"/>
      <c r="L44" s="226" t="s">
        <v>23</v>
      </c>
      <c r="M44" s="311" t="s">
        <v>16</v>
      </c>
      <c r="N44" s="319">
        <f>B44*E44</f>
        <v>0</v>
      </c>
    </row>
    <row r="45" spans="1:14" ht="2.85" customHeight="1">
      <c r="A45" s="309"/>
      <c r="B45" s="315"/>
      <c r="C45" s="226"/>
      <c r="D45" s="226"/>
      <c r="E45" s="320"/>
      <c r="F45" s="320"/>
      <c r="G45" s="320"/>
      <c r="H45" s="302"/>
      <c r="I45" s="302"/>
      <c r="J45" s="302"/>
      <c r="K45" s="302"/>
      <c r="L45" s="226"/>
      <c r="M45" s="311"/>
      <c r="N45" s="319"/>
    </row>
    <row r="46" spans="1:14" ht="6.95" customHeight="1">
      <c r="A46" s="345"/>
      <c r="B46" s="345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7"/>
    </row>
    <row r="47" spans="1:14" s="299" customFormat="1" ht="2.85" customHeight="1">
      <c r="A47" s="297"/>
      <c r="B47" s="297"/>
      <c r="C47" s="297"/>
      <c r="D47" s="297"/>
      <c r="E47" s="297"/>
      <c r="F47" s="297"/>
      <c r="G47" s="297"/>
      <c r="H47" s="297"/>
      <c r="I47" s="297"/>
      <c r="J47" s="297"/>
      <c r="K47" s="297"/>
      <c r="L47" s="297"/>
      <c r="M47" s="297"/>
      <c r="N47" s="321"/>
    </row>
    <row r="48" spans="1:14" ht="12" customHeight="1">
      <c r="A48" s="309" t="s">
        <v>28</v>
      </c>
      <c r="B48" s="302" t="s">
        <v>29</v>
      </c>
      <c r="C48" s="302"/>
      <c r="D48" s="322"/>
      <c r="E48" s="322"/>
      <c r="F48" s="322"/>
      <c r="G48" s="163"/>
      <c r="H48" s="163"/>
      <c r="I48" s="163"/>
      <c r="J48" s="163"/>
      <c r="K48" s="163"/>
      <c r="L48" s="163"/>
      <c r="M48" s="226"/>
      <c r="N48" s="318"/>
    </row>
    <row r="49" spans="1:14" ht="6.2" customHeight="1">
      <c r="A49" s="302"/>
      <c r="B49" s="302"/>
      <c r="C49" s="322"/>
      <c r="D49" s="322"/>
      <c r="E49" s="322"/>
      <c r="F49" s="322"/>
      <c r="G49" s="163"/>
      <c r="H49" s="163"/>
      <c r="I49" s="163"/>
      <c r="J49" s="163"/>
      <c r="K49" s="163"/>
      <c r="L49" s="163"/>
      <c r="M49" s="226"/>
      <c r="N49" s="318"/>
    </row>
    <row r="50" spans="1:14" ht="12" customHeight="1">
      <c r="A50" s="302"/>
      <c r="B50" s="713" t="s">
        <v>30</v>
      </c>
      <c r="C50" s="713"/>
      <c r="D50" s="713"/>
      <c r="E50" s="322"/>
      <c r="F50" s="322"/>
      <c r="G50" s="713" t="s">
        <v>31</v>
      </c>
      <c r="H50" s="713"/>
      <c r="I50" s="713"/>
      <c r="J50" s="163"/>
      <c r="K50" s="163"/>
      <c r="L50" s="163"/>
      <c r="M50" s="226"/>
      <c r="N50" s="318"/>
    </row>
    <row r="51" spans="1:14" ht="5.45" customHeight="1">
      <c r="A51" s="302"/>
      <c r="B51" s="302"/>
      <c r="C51" s="226"/>
      <c r="D51" s="226"/>
      <c r="E51" s="322"/>
      <c r="F51" s="322"/>
      <c r="G51" s="163"/>
      <c r="H51" s="163"/>
      <c r="I51" s="163"/>
      <c r="J51" s="163"/>
      <c r="K51" s="163"/>
      <c r="L51" s="163"/>
      <c r="M51" s="226"/>
      <c r="N51" s="318"/>
    </row>
    <row r="52" spans="1:14" ht="15" customHeight="1">
      <c r="A52" s="323" t="s">
        <v>32</v>
      </c>
      <c r="B52" s="324" t="str">
        <f>IF(AND('Hilfsblatt Assi'!A2 &lt;&gt; "",AND('Hilfsblatt Assi'!A2 &gt;= 6,'Hilfsblatt Assi'!A2&lt;8)),1,"")</f>
        <v/>
      </c>
      <c r="C52" s="325" t="s">
        <v>33</v>
      </c>
      <c r="D52" s="326">
        <f>VLOOKUP($K$6,Tagessätze!$A$3:$P$9,4)</f>
        <v>8</v>
      </c>
      <c r="E52" s="327"/>
      <c r="F52" s="328"/>
      <c r="G52" s="329" t="str">
        <f>IF('Hilfsblatt Assi'!F2 &lt;&gt; "", 'Hilfsblatt Assi'!F2, "")</f>
        <v/>
      </c>
      <c r="H52" s="330" t="s">
        <v>34</v>
      </c>
      <c r="I52" s="331">
        <f>VLOOKUP($K$6,Tagessätze!$A$3:$P$9,7)</f>
        <v>8</v>
      </c>
      <c r="J52" s="226" t="s">
        <v>16</v>
      </c>
      <c r="K52" s="316">
        <f>IF(OR(B52 &lt;&gt; "",G52 &lt;&gt; ""),IF(B52 &lt;&gt; "",(B52*D52),0)+IF(G52 &lt;&gt; "",(G52*I52),0),0)</f>
        <v>0</v>
      </c>
      <c r="L52" s="163" t="s">
        <v>1</v>
      </c>
      <c r="M52" s="226"/>
      <c r="N52" s="318"/>
    </row>
    <row r="53" spans="1:14" ht="6" customHeight="1">
      <c r="A53" s="302"/>
      <c r="B53" s="226"/>
      <c r="C53" s="226"/>
      <c r="D53" s="313"/>
      <c r="E53" s="332"/>
      <c r="F53" s="333"/>
      <c r="G53" s="313"/>
      <c r="H53" s="226"/>
      <c r="I53" s="313"/>
      <c r="J53" s="226"/>
      <c r="K53" s="312"/>
      <c r="L53" s="163"/>
      <c r="M53" s="226"/>
      <c r="N53" s="318"/>
    </row>
    <row r="54" spans="1:14" ht="15" customHeight="1">
      <c r="A54" s="323" t="s">
        <v>35</v>
      </c>
      <c r="B54" s="324" t="str">
        <f>IF(AND('Hilfsblatt Assi'!A2 &lt;&gt; "",AND('Hilfsblatt Assi'!A2 &gt;= 8,'Hilfsblatt Assi'!A2&lt;12)),1,"")</f>
        <v/>
      </c>
      <c r="C54" s="325" t="s">
        <v>33</v>
      </c>
      <c r="D54" s="326">
        <f>VLOOKUP($K$6,Tagessätze!$A$3:$P$9,5)</f>
        <v>12</v>
      </c>
      <c r="E54" s="327"/>
      <c r="F54" s="328"/>
      <c r="G54" s="329" t="str">
        <f>IF('Hilfsblatt Assi'!G2 &lt;&gt; "", 'Hilfsblatt Assi'!G2, "")</f>
        <v/>
      </c>
      <c r="H54" s="334" t="s">
        <v>34</v>
      </c>
      <c r="I54" s="335">
        <f>VLOOKUP($K$6,Tagessätze!$A$3:$P$9,8)</f>
        <v>14</v>
      </c>
      <c r="J54" s="226" t="s">
        <v>16</v>
      </c>
      <c r="K54" s="316">
        <f>IF(OR(B54 &lt;&gt; "",G54 &lt;&gt; ""),IF(B54 &lt;&gt; "",(B54*D54),0)+IF(G54 &lt;&gt; "",(G54*I54),0),0)</f>
        <v>0</v>
      </c>
      <c r="L54" s="163"/>
      <c r="M54" s="226"/>
      <c r="N54" s="318"/>
    </row>
    <row r="55" spans="1:14" ht="6" customHeight="1">
      <c r="A55" s="302"/>
      <c r="B55" s="226"/>
      <c r="C55" s="226"/>
      <c r="D55" s="313"/>
      <c r="E55" s="332"/>
      <c r="F55" s="333"/>
      <c r="G55" s="226" t="s">
        <v>1</v>
      </c>
      <c r="H55" s="226" t="s">
        <v>1</v>
      </c>
      <c r="I55" s="313"/>
      <c r="J55" s="226"/>
      <c r="K55" s="312"/>
      <c r="L55" s="163"/>
      <c r="M55" s="226"/>
      <c r="N55" s="318"/>
    </row>
    <row r="56" spans="1:14" ht="15" customHeight="1">
      <c r="A56" s="323" t="s">
        <v>36</v>
      </c>
      <c r="B56" s="324" t="str">
        <f>IF(AND('Hilfsblatt Assi'!A2 &lt;&gt; "",'Hilfsblatt Assi'!A2 &gt;= 12),1,"")</f>
        <v/>
      </c>
      <c r="C56" s="325" t="s">
        <v>33</v>
      </c>
      <c r="D56" s="326">
        <f>VLOOKUP($K$6,Tagessätze!$A$3:$P$9,6)</f>
        <v>18</v>
      </c>
      <c r="E56" s="327"/>
      <c r="F56" s="328"/>
      <c r="G56" s="329" t="str">
        <f>IF('Hilfsblatt Assi'!H2 &lt;&gt; "", 'Hilfsblatt Assi'!H2, "")</f>
        <v/>
      </c>
      <c r="H56" s="334" t="s">
        <v>34</v>
      </c>
      <c r="I56" s="335">
        <f>VLOOKUP($K$6,Tagessätze!$A$3:$P$9,9)</f>
        <v>24</v>
      </c>
      <c r="J56" s="226" t="s">
        <v>16</v>
      </c>
      <c r="K56" s="316">
        <f>IF(OR(B56 &lt;&gt; "",G56 &lt;&gt; ""),IF(B56 &lt;&gt; "",(B56*D56),0)+IF(G56 &lt;&gt; "",(G56*I56),0),0)</f>
        <v>0</v>
      </c>
      <c r="L56" s="226" t="s">
        <v>23</v>
      </c>
      <c r="M56" s="226" t="s">
        <v>16</v>
      </c>
      <c r="N56" s="319">
        <f>IF('Hilfsblatt ML'!$A$2 &lt; 6,K48+K50+K52,0)</f>
        <v>0</v>
      </c>
    </row>
    <row r="57" spans="1:14" ht="8.4499999999999993" customHeight="1">
      <c r="A57" s="313"/>
      <c r="B57" s="163"/>
      <c r="C57" s="163"/>
      <c r="J57" s="163"/>
      <c r="K57" s="312"/>
      <c r="L57" s="163"/>
      <c r="M57" s="226"/>
      <c r="N57" s="318"/>
    </row>
    <row r="58" spans="1:14" ht="15" customHeight="1">
      <c r="A58" s="629" t="str">
        <f>IF('Hilfsblatt ML'!A2 &lt;&gt; "", "Frühstück erhalten?", "Frühstück erhalten (ohne Anreisetag)?")</f>
        <v>Frühstück erhalten?</v>
      </c>
      <c r="B58" s="629"/>
      <c r="C58" s="629"/>
      <c r="D58" s="629"/>
      <c r="E58" s="629"/>
      <c r="F58" s="163"/>
      <c r="G58" s="336" t="s">
        <v>77</v>
      </c>
      <c r="H58" s="337">
        <f>IF('Hilfsblatt ML'!$A$2 &lt; 6, 0, VLOOKUP($K$6,Tagessätze!$A$3:$P$9,10))</f>
        <v>0</v>
      </c>
      <c r="I58" s="226" t="s">
        <v>37</v>
      </c>
      <c r="J58" s="226" t="s">
        <v>16</v>
      </c>
      <c r="K58" s="338">
        <f>IF(G58 = "x", 'Hilfsblatt ML'!I2*-1,0)</f>
        <v>0</v>
      </c>
    </row>
    <row r="59" spans="1:14" ht="15" customHeight="1">
      <c r="A59" s="163"/>
      <c r="B59" s="629" t="s">
        <v>38</v>
      </c>
      <c r="C59" s="629"/>
      <c r="D59" s="629"/>
      <c r="E59" s="629"/>
      <c r="F59" s="163"/>
      <c r="G59" s="339" t="s">
        <v>77</v>
      </c>
      <c r="H59" s="337">
        <f>IF('Hilfsblatt ML'!$A$2 &lt; 6, 0,VLOOKUP($K$6,Tagessätze!$A$3:$P$9,11))</f>
        <v>0</v>
      </c>
      <c r="I59" s="226" t="s">
        <v>37</v>
      </c>
      <c r="J59" s="226" t="s">
        <v>16</v>
      </c>
      <c r="K59" s="338">
        <f>IF(G59 = "x", 'Hilfsblatt ML'!J2*-1,0)</f>
        <v>0</v>
      </c>
      <c r="L59" s="163"/>
      <c r="M59" s="302"/>
      <c r="N59" s="318"/>
    </row>
    <row r="60" spans="1:14" ht="15" customHeight="1">
      <c r="A60" s="629" t="str">
        <f>IF('Hilfsblatt ML'!A2 &lt;&gt; "", "Abendessen erhalten?", "Abendessen erhalten (ohne Abreisetag)?")</f>
        <v>Abendessen erhalten?</v>
      </c>
      <c r="B60" s="629"/>
      <c r="C60" s="629"/>
      <c r="D60" s="629"/>
      <c r="E60" s="629"/>
      <c r="F60" s="163"/>
      <c r="G60" s="336" t="s">
        <v>77</v>
      </c>
      <c r="H60" s="337">
        <f>IF('Hilfsblatt ML'!$A$2 &lt; 6, 0,VLOOKUP($K$6,Tagessätze!$A$3:$P$9,12))</f>
        <v>0</v>
      </c>
      <c r="I60" s="226" t="s">
        <v>37</v>
      </c>
      <c r="J60" s="226" t="s">
        <v>16</v>
      </c>
      <c r="K60" s="338">
        <f>IF(G60 = "x", 'Hilfsblatt ML'!K2*-1,0)</f>
        <v>0</v>
      </c>
      <c r="L60" s="226" t="s">
        <v>23</v>
      </c>
      <c r="M60" s="311" t="s">
        <v>16</v>
      </c>
      <c r="N60" s="319">
        <f>K52+K54+K56+K58+K59+K60</f>
        <v>0</v>
      </c>
    </row>
    <row r="61" spans="1:14" ht="2.85" customHeight="1">
      <c r="A61" s="163"/>
      <c r="B61" s="313"/>
      <c r="C61" s="313"/>
      <c r="D61" s="313"/>
      <c r="E61" s="313"/>
      <c r="F61" s="163"/>
      <c r="G61" s="315"/>
      <c r="H61" s="337"/>
      <c r="I61" s="226"/>
      <c r="J61" s="226"/>
      <c r="K61" s="338"/>
      <c r="L61" s="226"/>
      <c r="M61" s="311"/>
      <c r="N61" s="319"/>
    </row>
    <row r="62" spans="1:14" ht="6.95" customHeight="1">
      <c r="A62" s="345"/>
      <c r="B62" s="345"/>
      <c r="C62" s="345"/>
      <c r="D62" s="345"/>
      <c r="E62" s="345"/>
      <c r="F62" s="345"/>
      <c r="G62" s="345"/>
      <c r="H62" s="345"/>
      <c r="I62" s="345"/>
      <c r="J62" s="345"/>
      <c r="K62" s="345"/>
      <c r="L62" s="345"/>
      <c r="M62" s="346"/>
      <c r="N62" s="347"/>
    </row>
    <row r="63" spans="1:14" s="299" customFormat="1" ht="2.85" customHeight="1">
      <c r="A63" s="297"/>
      <c r="B63" s="297"/>
      <c r="C63" s="297"/>
      <c r="D63" s="297"/>
      <c r="E63" s="297"/>
      <c r="F63" s="297"/>
      <c r="G63" s="297"/>
      <c r="H63" s="297"/>
      <c r="I63" s="297"/>
      <c r="J63" s="297"/>
      <c r="K63" s="297"/>
      <c r="L63" s="297"/>
      <c r="M63" s="315"/>
      <c r="N63" s="321"/>
    </row>
    <row r="64" spans="1:14" ht="15" customHeight="1">
      <c r="A64" s="340" t="s">
        <v>174</v>
      </c>
      <c r="B64" s="663"/>
      <c r="C64" s="663"/>
      <c r="D64" s="163"/>
      <c r="E64" s="629" t="str">
        <f>IF(AND($E$18 = $E$20,$D$22&gt;0),CONCATENATE("Summe Einzelposten ",TEXT($N$39+$N$44+$N$60, "0,00 €")," x ",$D$22+1),"Gesamtsumme")</f>
        <v>Gesamtsumme</v>
      </c>
      <c r="F64" s="629"/>
      <c r="G64" s="629"/>
      <c r="H64" s="629"/>
      <c r="I64" s="629"/>
      <c r="J64" s="629"/>
      <c r="K64" s="629"/>
      <c r="L64" s="629"/>
      <c r="M64" s="226" t="s">
        <v>16</v>
      </c>
      <c r="N64" s="341">
        <f>SUM(N39+N44+N60+N56)*IF(E18 = E20,D22+1,1)</f>
        <v>0</v>
      </c>
    </row>
    <row r="65" spans="1:14" ht="3" customHeight="1">
      <c r="A65" s="340"/>
      <c r="B65" s="226"/>
      <c r="C65" s="226"/>
      <c r="D65" s="163"/>
      <c r="E65" s="313"/>
      <c r="F65" s="313"/>
      <c r="G65" s="313"/>
      <c r="H65" s="313"/>
      <c r="I65" s="313"/>
      <c r="J65" s="313"/>
      <c r="K65" s="313"/>
      <c r="L65" s="313"/>
      <c r="M65" s="226"/>
      <c r="N65" s="341"/>
    </row>
    <row r="66" spans="1:14" ht="33" customHeight="1">
      <c r="A66" s="163" t="s">
        <v>255</v>
      </c>
      <c r="B66" s="163"/>
      <c r="C66" s="163"/>
      <c r="D66" s="163"/>
      <c r="E66" s="163"/>
      <c r="F66" s="163"/>
      <c r="G66" s="163"/>
      <c r="H66" s="163"/>
      <c r="I66" s="712" t="s">
        <v>406</v>
      </c>
      <c r="J66" s="713"/>
      <c r="K66" s="713"/>
      <c r="L66" s="713"/>
      <c r="M66" s="713"/>
      <c r="N66" s="713"/>
    </row>
    <row r="67" spans="1:14" ht="28.35" customHeight="1">
      <c r="A67" s="306" t="s">
        <v>405</v>
      </c>
      <c r="B67" s="163"/>
      <c r="C67" s="163"/>
      <c r="D67" s="163"/>
      <c r="E67" s="163"/>
      <c r="F67" s="163"/>
      <c r="G67" s="163"/>
      <c r="H67" s="163"/>
      <c r="I67" s="714"/>
      <c r="J67" s="714"/>
      <c r="K67" s="714"/>
      <c r="L67" s="714"/>
      <c r="M67" s="714"/>
      <c r="N67" s="714"/>
    </row>
    <row r="68" spans="1:14" ht="14.1" customHeight="1">
      <c r="A68" s="719"/>
      <c r="B68" s="719"/>
      <c r="C68" s="719"/>
      <c r="D68" s="719"/>
      <c r="E68" s="719"/>
      <c r="F68" s="719"/>
      <c r="G68" s="719"/>
      <c r="H68" s="342"/>
      <c r="I68" s="714"/>
      <c r="J68" s="714"/>
      <c r="K68" s="714"/>
      <c r="L68" s="714"/>
      <c r="M68" s="714"/>
      <c r="N68" s="714"/>
    </row>
    <row r="69" spans="1:14" ht="12.75" customHeight="1">
      <c r="A69" s="296"/>
      <c r="B69" s="163"/>
      <c r="C69" s="163"/>
      <c r="D69" s="163"/>
      <c r="E69" s="163"/>
      <c r="F69" s="163"/>
      <c r="G69" s="163"/>
      <c r="H69" s="163"/>
      <c r="I69" s="710" t="s">
        <v>403</v>
      </c>
      <c r="J69" s="710"/>
      <c r="K69" s="710"/>
      <c r="L69" s="710"/>
      <c r="M69" s="710"/>
      <c r="N69" s="710"/>
    </row>
    <row r="70" spans="1:14" ht="14.1" customHeight="1">
      <c r="A70" s="719"/>
      <c r="B70" s="719"/>
      <c r="C70" s="719"/>
      <c r="D70" s="719"/>
      <c r="E70" s="719"/>
      <c r="F70" s="719"/>
      <c r="G70" s="719"/>
      <c r="H70" s="163"/>
      <c r="I70" s="163"/>
      <c r="J70" s="163"/>
      <c r="K70" s="163"/>
      <c r="L70" s="163"/>
      <c r="M70" s="163"/>
      <c r="N70" s="163"/>
    </row>
    <row r="71" spans="1:14" ht="28.35" customHeight="1">
      <c r="A71" s="343"/>
      <c r="B71" s="344"/>
      <c r="C71" s="344"/>
      <c r="D71" s="344"/>
      <c r="E71" s="344"/>
      <c r="F71" s="344"/>
      <c r="G71" s="344"/>
      <c r="H71" s="344"/>
      <c r="I71" s="169"/>
      <c r="J71" s="169"/>
      <c r="K71" s="166"/>
      <c r="L71" s="166"/>
      <c r="M71" s="166"/>
      <c r="N71" s="166"/>
    </row>
    <row r="72" spans="1:14" ht="17.25">
      <c r="A72" s="342"/>
      <c r="B72" s="296"/>
      <c r="C72" s="296"/>
      <c r="D72" s="296"/>
      <c r="E72" s="296"/>
      <c r="F72" s="296"/>
      <c r="G72" s="296"/>
      <c r="H72" s="296"/>
      <c r="I72" s="169"/>
      <c r="J72" s="169"/>
      <c r="K72" s="344"/>
      <c r="L72" s="344"/>
      <c r="M72" s="344"/>
      <c r="N72" s="344"/>
    </row>
    <row r="73" spans="1:14" ht="17.25">
      <c r="I73" s="169"/>
      <c r="J73" s="169"/>
      <c r="K73" s="718"/>
      <c r="L73" s="718"/>
      <c r="M73" s="718"/>
      <c r="N73" s="718"/>
    </row>
  </sheetData>
  <sheetProtection algorithmName="SHA-512" hashValue="rTVGZB/2L4Y0/aoF3ZshDa9KfFzuUPDsyTLtrtS7JmKjbK5dNjML2YL7SkNgdbdhN+BpPLOEFNoEvnwHjt8DUA==" saltValue="jw8O9guGTBv4x2IOey+8eA==" spinCount="100000" sheet="1" selectLockedCells="1"/>
  <mergeCells count="49">
    <mergeCell ref="A8:E8"/>
    <mergeCell ref="H8:M8"/>
    <mergeCell ref="A2:M2"/>
    <mergeCell ref="A4:E4"/>
    <mergeCell ref="A6:E6"/>
    <mergeCell ref="H6:J6"/>
    <mergeCell ref="K6:N6"/>
    <mergeCell ref="A10:E10"/>
    <mergeCell ref="H10:M10"/>
    <mergeCell ref="A12:E12"/>
    <mergeCell ref="H12:M12"/>
    <mergeCell ref="H13:K13"/>
    <mergeCell ref="M13:N13"/>
    <mergeCell ref="G30:H30"/>
    <mergeCell ref="J30:K30"/>
    <mergeCell ref="B16:F16"/>
    <mergeCell ref="H16:K16"/>
    <mergeCell ref="E18:H18"/>
    <mergeCell ref="J18:K18"/>
    <mergeCell ref="E20:H20"/>
    <mergeCell ref="J20:K20"/>
    <mergeCell ref="E22:H22"/>
    <mergeCell ref="I22:N23"/>
    <mergeCell ref="G27:H27"/>
    <mergeCell ref="J27:K27"/>
    <mergeCell ref="H29:I29"/>
    <mergeCell ref="A58:E58"/>
    <mergeCell ref="H32:I32"/>
    <mergeCell ref="G33:H33"/>
    <mergeCell ref="J33:K33"/>
    <mergeCell ref="B35:K35"/>
    <mergeCell ref="J37:K37"/>
    <mergeCell ref="D39:H39"/>
    <mergeCell ref="J39:K39"/>
    <mergeCell ref="C44:D44"/>
    <mergeCell ref="E44:G44"/>
    <mergeCell ref="H44:K44"/>
    <mergeCell ref="B50:D50"/>
    <mergeCell ref="G50:I50"/>
    <mergeCell ref="I69:N69"/>
    <mergeCell ref="A70:G70"/>
    <mergeCell ref="K73:N73"/>
    <mergeCell ref="B59:E59"/>
    <mergeCell ref="A60:E60"/>
    <mergeCell ref="B64:C64"/>
    <mergeCell ref="E64:L64"/>
    <mergeCell ref="I66:N66"/>
    <mergeCell ref="I67:N68"/>
    <mergeCell ref="A68:G68"/>
  </mergeCells>
  <conditionalFormatting sqref="A22:A23">
    <cfRule type="expression" dxfId="21" priority="7">
      <formula>IF(E18 &lt;&gt; E20, TRUE, FALSE)</formula>
    </cfRule>
  </conditionalFormatting>
  <conditionalFormatting sqref="A52">
    <cfRule type="expression" dxfId="20" priority="15" stopIfTrue="1">
      <formula>IF(OR($B$52 &lt;&gt; "",$G$52 &lt;&gt; ""), TRUE,0)</formula>
    </cfRule>
  </conditionalFormatting>
  <conditionalFormatting sqref="A54">
    <cfRule type="expression" dxfId="19" priority="16" stopIfTrue="1">
      <formula>IF(OR($B$54 &lt;&gt; "",$G$54 &lt;&gt; ""), TRUE,0)</formula>
    </cfRule>
  </conditionalFormatting>
  <conditionalFormatting sqref="A56">
    <cfRule type="expression" dxfId="18" priority="14" stopIfTrue="1">
      <formula>IF(OR($B$56 &lt;&gt; "",$G$56 &lt;&gt; ""), TRUE,0)</formula>
    </cfRule>
  </conditionalFormatting>
  <conditionalFormatting sqref="B30">
    <cfRule type="expression" dxfId="16" priority="22" stopIfTrue="1">
      <formula>IF(H29 = "Sammelrechnung", TRUE,0)</formula>
    </cfRule>
  </conditionalFormatting>
  <conditionalFormatting sqref="B52:D52">
    <cfRule type="expression" dxfId="14" priority="19" stopIfTrue="1">
      <formula>IF($B$52 &lt;&gt; "", TRUE,0)</formula>
    </cfRule>
  </conditionalFormatting>
  <conditionalFormatting sqref="B54:D54">
    <cfRule type="expression" dxfId="13" priority="18" stopIfTrue="1">
      <formula>IF($B$54 &lt;&gt; "", TRUE,0)</formula>
    </cfRule>
  </conditionalFormatting>
  <conditionalFormatting sqref="B56:D56">
    <cfRule type="expression" dxfId="12" priority="17" stopIfTrue="1">
      <formula>IF($B$56 &lt;&gt; "", TRUE,0)</formula>
    </cfRule>
  </conditionalFormatting>
  <conditionalFormatting sqref="B35:K35">
    <cfRule type="expression" dxfId="11" priority="8">
      <formula>IF(B33=0, TRUE, FALSE)</formula>
    </cfRule>
  </conditionalFormatting>
  <conditionalFormatting sqref="D22">
    <cfRule type="expression" dxfId="10" priority="6">
      <formula>IF(E18 &lt;&gt; E20, TRUE, FALSE)</formula>
    </cfRule>
  </conditionalFormatting>
  <conditionalFormatting sqref="E22:H23">
    <cfRule type="expression" dxfId="9" priority="5">
      <formula>IF(E18 &lt;&gt; E20, TRUE, FALSE)</formula>
    </cfRule>
  </conditionalFormatting>
  <conditionalFormatting sqref="G52:I52">
    <cfRule type="expression" dxfId="5" priority="20" stopIfTrue="1">
      <formula>IF($G$52 &lt;&gt; "", TRUE,0)</formula>
    </cfRule>
  </conditionalFormatting>
  <conditionalFormatting sqref="G54:I54">
    <cfRule type="expression" dxfId="4" priority="21" stopIfTrue="1">
      <formula>IF($G$54 &lt;&gt; "", TRUE,0)</formula>
    </cfRule>
  </conditionalFormatting>
  <conditionalFormatting sqref="G56:I56">
    <cfRule type="expression" dxfId="3" priority="13" stopIfTrue="1">
      <formula>IF($G$56 &lt;&gt; "", TRUE,0)</formula>
    </cfRule>
  </conditionalFormatting>
  <conditionalFormatting sqref="I22:N22">
    <cfRule type="expression" dxfId="2" priority="9">
      <formula>IF(OR(E18 &lt;&gt; E20, D22 = 0), TRUE, FALSE)</formula>
    </cfRule>
    <cfRule type="expression" dxfId="1" priority="10">
      <formula>IF(AND(D22 &lt;&gt; "", D22 &gt; 0),TRUE,FALSE)</formula>
    </cfRule>
  </conditionalFormatting>
  <dataValidations count="6">
    <dataValidation type="list" allowBlank="1" showInputMessage="1" showErrorMessage="1" sqref="G58:G60" xr:uid="{1F436DA0-137D-4155-A9FB-BC2772CC67A9}">
      <formula1>"x,o"</formula1>
    </dataValidation>
    <dataValidation type="time" allowBlank="1" showInputMessage="1" showErrorMessage="1" errorTitle="falsche Eingabe" error="Geben Sie eine Uhrzeit im Format &quot;13:30&quot; ein" promptTitle="Uhrzeit eingeben (Format 00:00)" sqref="J18:K18 J20:K20" xr:uid="{BC866A08-45E6-4D13-B870-0830B47315DF}">
      <formula1>0</formula1>
      <formula2>0.999305555555556</formula2>
    </dataValidation>
    <dataValidation type="date" allowBlank="1" showInputMessage="1" showErrorMessage="1" errorTitle="falsche Eingabe" error="geben Sie ein Datum im Format &quot;13.03.2017&quot; ein" promptTitle="Datum eingeben" sqref="E18:H18 E20:H20" xr:uid="{6737B3CF-9DCA-42B5-ADE6-80E810B57C86}">
      <formula1>36526</formula1>
      <formula2>58440</formula2>
    </dataValidation>
    <dataValidation type="list" allowBlank="1" showInputMessage="1" showErrorMessage="1" sqref="B33" xr:uid="{EA02F2A7-49B8-4861-B1CA-67693CAED42C}">
      <formula1>"0,1,2,3,4,5,6,7,8,9,10"</formula1>
    </dataValidation>
    <dataValidation type="list" allowBlank="1" showInputMessage="1" showErrorMessage="1" sqref="D22" xr:uid="{240DFFB4-CACC-41D1-8004-0E7921C3EF67}">
      <formula1>"0,1,2,3,4,5,6,7,8,9,10,11,12,13,14"</formula1>
    </dataValidation>
    <dataValidation type="list" allowBlank="1" showInputMessage="1" showErrorMessage="1" sqref="G61" xr:uid="{DA4774EE-F501-48FC-844D-440152F4A9B6}">
      <formula1>"Ja,Nein"</formula1>
    </dataValidation>
  </dataValidations>
  <printOptions horizontalCentered="1" verticalCentered="1"/>
  <pageMargins left="0" right="0" top="0" bottom="0" header="0" footer="0"/>
  <pageSetup paperSize="9"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A4F59B32-E562-42B9-B4C7-FB2281F6A9FA}">
            <xm:f>'Hilfsblatt ML'!$A$2 &lt; 6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A58 F58 H58:N58 A59:J59 K59:N60 A60 F60 H60:J60</xm:sqref>
        </x14:conditionalFormatting>
        <x14:conditionalFormatting xmlns:xm="http://schemas.microsoft.com/office/excel/2006/main">
          <x14:cfRule type="expression" priority="11" id="{0B857999-DF66-4F2E-9BC3-4557D0BF086F}">
            <xm:f>IF(AND('Hilfsblatt ML'!$A$2 = "", 'Hilfsblatt ML'!$B$2 &lt;&gt;""),TRUE,0)</xm:f>
            <x14:dxf>
              <font>
                <color rgb="FF969696"/>
              </font>
            </x14:dxf>
          </x14:cfRule>
          <xm:sqref>B50:D56</xm:sqref>
        </x14:conditionalFormatting>
        <x14:conditionalFormatting xmlns:xm="http://schemas.microsoft.com/office/excel/2006/main">
          <x14:cfRule type="expression" priority="2" id="{8FDAA3D8-3536-4837-8211-FD556019AD01}">
            <xm:f>'Hilfsblatt ML'!$A$2 &lt; 6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</x14:dxf>
          </x14:cfRule>
          <xm:sqref>G58</xm:sqref>
        </x14:conditionalFormatting>
        <x14:conditionalFormatting xmlns:xm="http://schemas.microsoft.com/office/excel/2006/main">
          <x14:cfRule type="expression" priority="1" id="{240C185C-81F4-4D4D-8F1E-ACA42DF6D3C6}">
            <xm:f>'Hilfsblatt ML'!$A$2 &lt; 6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</x14:dxf>
          </x14:cfRule>
          <xm:sqref>G60</xm:sqref>
        </x14:conditionalFormatting>
        <x14:conditionalFormatting xmlns:xm="http://schemas.microsoft.com/office/excel/2006/main">
          <x14:cfRule type="expression" priority="12" id="{2CFE8B59-5C8A-4574-9238-AC068481D521}">
            <xm:f>IF(AND('Hilfsblatt ML'!$B$2 = "", 'Hilfsblatt ML'!$A$2 &lt;&gt;""),TRUE,0)</xm:f>
            <x14:dxf>
              <font>
                <color rgb="FF969696"/>
              </font>
            </x14:dxf>
          </x14:cfRule>
          <xm:sqref>G50:I56</xm:sqref>
        </x14:conditionalFormatting>
        <x14:conditionalFormatting xmlns:xm="http://schemas.microsoft.com/office/excel/2006/main">
          <x14:cfRule type="expression" priority="4" id="{C07D2D54-F4B5-4669-BAE8-5AC143D38F1A}">
            <xm:f>'Hilfsblatt ML'!$A$2 &gt;=6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L56:N56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F99051-4CFE-4D3A-9379-427EA9C5A940}">
          <x14:formula1>
            <xm:f>Tagessätze!$A$3:$A$9</xm:f>
          </x14:formula1>
          <xm:sqref>K6:N6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00B0F0"/>
    <pageSetUpPr fitToPage="1"/>
  </sheetPr>
  <dimension ref="A1:BC48"/>
  <sheetViews>
    <sheetView showGridLines="0" tabSelected="1" zoomScaleNormal="100" zoomScalePageLayoutView="85" workbookViewId="0">
      <selection activeCell="I2" sqref="I2"/>
    </sheetView>
  </sheetViews>
  <sheetFormatPr baseColWidth="10" defaultColWidth="0" defaultRowHeight="0" customHeight="1" zeroHeight="1" outlineLevelCol="1"/>
  <cols>
    <col min="1" max="1" width="1" style="122" customWidth="1"/>
    <col min="2" max="2" width="3.85546875" style="122" customWidth="1"/>
    <col min="3" max="3" width="22" style="122" customWidth="1"/>
    <col min="4" max="4" width="10.42578125" style="122" customWidth="1"/>
    <col min="5" max="5" width="6.140625" style="122" customWidth="1"/>
    <col min="6" max="6" width="7.28515625" style="122" customWidth="1"/>
    <col min="7" max="7" width="7.5703125" style="122" customWidth="1"/>
    <col min="8" max="8" width="8.28515625" style="122" customWidth="1"/>
    <col min="9" max="9" width="7.7109375" style="122" customWidth="1"/>
    <col min="10" max="10" width="12.28515625" style="122" customWidth="1"/>
    <col min="11" max="11" width="18.85546875" style="122" customWidth="1"/>
    <col min="12" max="14" width="9.42578125" style="122" customWidth="1"/>
    <col min="15" max="15" width="12.7109375" style="122" customWidth="1"/>
    <col min="16" max="16" width="11" style="122" customWidth="1"/>
    <col min="17" max="17" width="12.7109375" style="122" customWidth="1"/>
    <col min="18" max="18" width="12.5703125" style="122" customWidth="1"/>
    <col min="19" max="19" width="16.85546875" style="122" customWidth="1"/>
    <col min="20" max="20" width="26.7109375" style="122" customWidth="1"/>
    <col min="21" max="21" width="4.140625" style="122" customWidth="1"/>
    <col min="22" max="22" width="27.42578125" style="122" customWidth="1"/>
    <col min="23" max="23" width="11.140625" style="409" customWidth="1"/>
    <col min="24" max="24" width="12.7109375" style="409" hidden="1" customWidth="1"/>
    <col min="25" max="25" width="11.42578125" style="409" hidden="1" customWidth="1"/>
    <col min="26" max="26" width="11.42578125" style="122" hidden="1" customWidth="1"/>
    <col min="27" max="27" width="13.28515625" style="122" hidden="1" customWidth="1"/>
    <col min="28" max="28" width="10.140625" style="122" hidden="1" customWidth="1"/>
    <col min="29" max="29" width="13.140625" style="122" hidden="1" customWidth="1"/>
    <col min="30" max="30" width="14.140625" style="409" hidden="1" customWidth="1"/>
    <col min="31" max="31" width="22.5703125" style="409" hidden="1" customWidth="1"/>
    <col min="32" max="32" width="14.140625" style="409" hidden="1" customWidth="1"/>
    <col min="33" max="33" width="24.28515625" style="409" hidden="1" customWidth="1"/>
    <col min="34" max="34" width="14.140625" style="409" hidden="1" customWidth="1"/>
    <col min="35" max="37" width="14.140625" style="122" hidden="1" customWidth="1"/>
    <col min="38" max="43" width="4.140625" style="122" hidden="1" customWidth="1"/>
    <col min="44" max="48" width="4.140625" style="122" customWidth="1"/>
    <col min="49" max="49" width="1" style="122" customWidth="1" outlineLevel="1"/>
    <col min="50" max="52" width="0" style="122" hidden="1" customWidth="1" outlineLevel="1"/>
    <col min="53" max="54" width="0" style="122" hidden="1" customWidth="1"/>
    <col min="55" max="16384" width="0" style="122" hidden="1" outlineLevel="1"/>
  </cols>
  <sheetData>
    <row r="1" spans="2:55" ht="35.1" customHeight="1" thickBot="1">
      <c r="B1" s="161"/>
      <c r="C1" s="161"/>
      <c r="D1" s="723" t="s">
        <v>0</v>
      </c>
      <c r="E1" s="724"/>
      <c r="F1" s="724"/>
      <c r="G1" s="724"/>
      <c r="H1" s="724"/>
      <c r="I1" s="724"/>
      <c r="J1" s="724"/>
      <c r="K1" s="724"/>
      <c r="L1" s="724"/>
      <c r="M1" s="724"/>
      <c r="N1" s="724"/>
      <c r="O1" s="724"/>
      <c r="P1" s="725"/>
      <c r="Q1" s="370"/>
      <c r="R1" s="161"/>
      <c r="S1" s="161"/>
      <c r="T1" s="161"/>
      <c r="U1" s="161"/>
      <c r="V1" s="161"/>
      <c r="W1" s="408"/>
      <c r="X1" s="408"/>
      <c r="Y1" s="408"/>
      <c r="Z1" s="161"/>
      <c r="AA1" s="161"/>
      <c r="AB1" s="161"/>
      <c r="AC1" s="161"/>
      <c r="AD1" s="408"/>
      <c r="AE1" s="408"/>
      <c r="AF1" s="408"/>
      <c r="AG1" s="408"/>
      <c r="AH1" s="408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2"/>
      <c r="AY1" s="162"/>
    </row>
    <row r="2" spans="2:55" ht="11.45" customHeight="1" thickBot="1"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420" t="str">
        <f>Deckblatt!K3</f>
        <v>BBV Form</v>
      </c>
      <c r="Q2" s="416" t="str">
        <f>Deckblatt!L3</f>
        <v>01/2025</v>
      </c>
      <c r="R2" s="123"/>
      <c r="AM2" s="192"/>
      <c r="AW2" s="163"/>
    </row>
    <row r="3" spans="2:55" ht="16.5">
      <c r="B3" s="729" t="s">
        <v>279</v>
      </c>
      <c r="C3" s="730"/>
      <c r="D3" s="730"/>
      <c r="E3" s="730"/>
      <c r="F3" s="741" t="s">
        <v>415</v>
      </c>
      <c r="G3" s="741"/>
      <c r="H3" s="741"/>
      <c r="I3" s="741"/>
      <c r="J3" s="741"/>
      <c r="K3" s="741"/>
      <c r="L3" s="741"/>
      <c r="M3" s="741"/>
      <c r="N3" s="741"/>
      <c r="O3" s="517"/>
      <c r="P3" s="188" t="s">
        <v>280</v>
      </c>
      <c r="Q3" s="726" t="s">
        <v>63</v>
      </c>
      <c r="R3" s="726"/>
      <c r="S3" s="468"/>
      <c r="T3" s="737"/>
      <c r="U3" s="737"/>
      <c r="V3" s="738"/>
      <c r="AM3" s="192"/>
      <c r="AW3" s="163"/>
      <c r="AX3" s="164"/>
    </row>
    <row r="4" spans="2:55" ht="17.25" thickBot="1">
      <c r="B4" s="742" t="s">
        <v>278</v>
      </c>
      <c r="C4" s="743"/>
      <c r="D4" s="744" t="s">
        <v>408</v>
      </c>
      <c r="E4" s="744"/>
      <c r="F4" s="744"/>
      <c r="G4" s="745"/>
      <c r="H4" s="187" t="s">
        <v>180</v>
      </c>
      <c r="I4" s="733" t="s">
        <v>409</v>
      </c>
      <c r="J4" s="733"/>
      <c r="K4" s="733"/>
      <c r="L4" s="733"/>
      <c r="M4" s="733"/>
      <c r="N4" s="733"/>
      <c r="O4" s="394"/>
      <c r="P4" s="189" t="s">
        <v>265</v>
      </c>
      <c r="Q4" s="739" t="s">
        <v>410</v>
      </c>
      <c r="R4" s="739"/>
      <c r="S4" s="739"/>
      <c r="T4" s="739"/>
      <c r="U4" s="739"/>
      <c r="V4" s="740"/>
      <c r="W4" s="513"/>
      <c r="X4" s="513"/>
      <c r="AM4" s="192"/>
      <c r="AW4" s="163"/>
      <c r="AX4" s="164"/>
    </row>
    <row r="5" spans="2:55" ht="5.0999999999999996" customHeight="1">
      <c r="B5" s="165"/>
      <c r="C5" s="166"/>
      <c r="D5" s="167"/>
      <c r="E5" s="167"/>
      <c r="F5" s="168"/>
      <c r="G5" s="168"/>
      <c r="H5" s="163"/>
      <c r="I5" s="163"/>
      <c r="J5" s="163"/>
      <c r="K5" s="163"/>
      <c r="L5" s="163"/>
      <c r="M5" s="163"/>
      <c r="N5" s="163"/>
      <c r="O5" s="163"/>
      <c r="P5" s="169"/>
      <c r="Q5" s="169"/>
      <c r="R5" s="169"/>
      <c r="S5" s="411"/>
      <c r="T5" s="411"/>
      <c r="U5" s="163"/>
      <c r="V5" s="163"/>
      <c r="W5" s="226"/>
      <c r="X5" s="226"/>
      <c r="Y5" s="226"/>
      <c r="Z5" s="163"/>
      <c r="AA5" s="163"/>
      <c r="AB5" s="163"/>
      <c r="AC5" s="163"/>
      <c r="AD5" s="226"/>
      <c r="AE5" s="226"/>
      <c r="AF5" s="226"/>
      <c r="AG5" s="226"/>
      <c r="AH5" s="226"/>
      <c r="AI5" s="163"/>
      <c r="AJ5" s="163"/>
      <c r="AK5" s="163"/>
      <c r="AL5" s="163"/>
      <c r="AM5" s="411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4"/>
    </row>
    <row r="6" spans="2:55" ht="15.95" customHeight="1">
      <c r="B6" s="746" t="s">
        <v>281</v>
      </c>
      <c r="C6" s="746"/>
      <c r="D6" s="746"/>
      <c r="E6" s="746"/>
      <c r="F6" s="746"/>
      <c r="G6" s="746"/>
      <c r="H6" s="746"/>
      <c r="I6" s="746"/>
      <c r="J6" s="746"/>
      <c r="K6" s="746"/>
      <c r="L6" s="746"/>
      <c r="M6" s="746"/>
      <c r="N6" s="746"/>
      <c r="O6" s="746"/>
      <c r="P6" s="746"/>
      <c r="Q6" s="746"/>
      <c r="R6" s="746"/>
      <c r="S6" s="746"/>
      <c r="T6" s="746"/>
      <c r="U6" s="746"/>
      <c r="V6" s="746"/>
      <c r="W6" s="171"/>
      <c r="X6" s="171"/>
      <c r="Y6" s="171"/>
      <c r="Z6" s="170"/>
      <c r="AA6" s="170"/>
      <c r="AB6" s="170"/>
      <c r="AC6" s="170"/>
      <c r="AD6" s="171"/>
      <c r="AE6" s="171"/>
      <c r="AF6" s="171"/>
      <c r="AG6" s="171"/>
      <c r="AH6" s="171"/>
      <c r="AI6" s="170"/>
      <c r="AJ6" s="170"/>
      <c r="AK6" s="170"/>
      <c r="AL6" s="170"/>
      <c r="AM6" s="410"/>
      <c r="AN6" s="170"/>
      <c r="AO6" s="170"/>
      <c r="AP6" s="170"/>
      <c r="AQ6" s="170"/>
      <c r="AR6" s="170"/>
      <c r="AS6" s="170"/>
      <c r="AT6" s="170"/>
      <c r="AU6" s="170"/>
      <c r="AV6" s="170"/>
      <c r="AW6" s="163"/>
      <c r="AX6" s="164"/>
    </row>
    <row r="7" spans="2:55" ht="5.0999999999999996" customHeight="1" thickBot="1">
      <c r="B7" s="163"/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  <c r="P7" s="518"/>
      <c r="Q7" s="518"/>
      <c r="R7" s="518"/>
      <c r="S7" s="518"/>
      <c r="T7" s="518"/>
      <c r="U7" s="518"/>
      <c r="V7" s="518"/>
      <c r="W7" s="226"/>
      <c r="X7" s="226"/>
      <c r="Y7" s="226"/>
      <c r="Z7" s="163"/>
      <c r="AA7" s="163"/>
      <c r="AB7" s="163"/>
      <c r="AC7" s="163"/>
      <c r="AD7" s="226"/>
      <c r="AE7" s="226"/>
      <c r="AF7" s="226"/>
      <c r="AG7" s="226"/>
      <c r="AH7" s="226"/>
      <c r="AI7" s="163"/>
      <c r="AJ7" s="163"/>
      <c r="AK7" s="163"/>
      <c r="AL7" s="163"/>
      <c r="AM7" s="411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4"/>
    </row>
    <row r="8" spans="2:55" ht="31.5" customHeight="1" thickBot="1">
      <c r="B8" s="172"/>
      <c r="C8" s="173" t="s">
        <v>283</v>
      </c>
      <c r="D8" s="503" t="s">
        <v>394</v>
      </c>
      <c r="E8" s="406" t="s">
        <v>51</v>
      </c>
      <c r="F8" s="734" t="s">
        <v>13</v>
      </c>
      <c r="G8" s="736"/>
      <c r="H8" s="736"/>
      <c r="I8" s="736"/>
      <c r="J8" s="735"/>
      <c r="K8" s="734" t="s">
        <v>28</v>
      </c>
      <c r="L8" s="735"/>
      <c r="M8" s="174" t="s">
        <v>176</v>
      </c>
      <c r="N8" s="174" t="s">
        <v>177</v>
      </c>
      <c r="O8" s="405" t="s">
        <v>89</v>
      </c>
      <c r="P8" s="464" t="s">
        <v>253</v>
      </c>
      <c r="Q8" s="426" t="s">
        <v>339</v>
      </c>
      <c r="R8" s="383" t="s">
        <v>298</v>
      </c>
      <c r="S8" s="175" t="s">
        <v>70</v>
      </c>
      <c r="T8" s="374" t="s">
        <v>3</v>
      </c>
      <c r="U8" s="731" t="s">
        <v>300</v>
      </c>
      <c r="V8" s="732"/>
      <c r="W8" s="163"/>
      <c r="X8" s="163"/>
      <c r="Y8" s="163"/>
      <c r="Z8" s="163"/>
      <c r="AA8" s="226" t="s">
        <v>258</v>
      </c>
      <c r="AB8" s="226" t="s">
        <v>334</v>
      </c>
      <c r="AC8" s="226" t="s">
        <v>335</v>
      </c>
      <c r="AD8" s="163"/>
      <c r="AE8" s="163"/>
      <c r="AF8" s="163"/>
      <c r="AG8" s="163"/>
      <c r="AH8" s="226" t="s">
        <v>258</v>
      </c>
      <c r="AI8" s="226" t="s">
        <v>334</v>
      </c>
      <c r="AJ8" s="226" t="s">
        <v>335</v>
      </c>
      <c r="AK8" s="226"/>
      <c r="AL8" s="226"/>
      <c r="AM8" s="163"/>
      <c r="AN8" s="163"/>
      <c r="AO8" s="411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4"/>
    </row>
    <row r="9" spans="2:55" ht="30.75" customHeight="1" thickBot="1">
      <c r="B9" s="176"/>
      <c r="C9" s="494" t="s">
        <v>282</v>
      </c>
      <c r="D9" s="494"/>
      <c r="E9" s="519" t="s">
        <v>397</v>
      </c>
      <c r="F9" s="469" t="s">
        <v>71</v>
      </c>
      <c r="G9" s="506" t="s">
        <v>395</v>
      </c>
      <c r="H9" s="499" t="s">
        <v>373</v>
      </c>
      <c r="I9" s="493" t="s">
        <v>398</v>
      </c>
      <c r="J9" s="177" t="s">
        <v>72</v>
      </c>
      <c r="K9" s="471" t="s">
        <v>348</v>
      </c>
      <c r="L9" s="178" t="s">
        <v>72</v>
      </c>
      <c r="M9" s="178" t="s">
        <v>72</v>
      </c>
      <c r="N9" s="178" t="s">
        <v>72</v>
      </c>
      <c r="O9" s="490" t="s">
        <v>374</v>
      </c>
      <c r="P9" s="425" t="s">
        <v>72</v>
      </c>
      <c r="Q9" s="424" t="s">
        <v>72</v>
      </c>
      <c r="R9" s="382" t="s">
        <v>299</v>
      </c>
      <c r="S9" s="179" t="s">
        <v>72</v>
      </c>
      <c r="T9" s="373"/>
      <c r="U9" s="371"/>
      <c r="V9" s="372"/>
      <c r="W9" s="411"/>
      <c r="X9" s="411"/>
      <c r="Y9" s="411"/>
      <c r="Z9" s="411" t="s">
        <v>63</v>
      </c>
      <c r="AA9" s="412"/>
      <c r="AB9" s="412"/>
      <c r="AC9" s="412"/>
      <c r="AD9" s="411"/>
      <c r="AE9" s="411"/>
      <c r="AF9" s="411"/>
      <c r="AG9" s="411" t="s">
        <v>63</v>
      </c>
      <c r="AH9" s="412"/>
      <c r="AI9" s="412"/>
      <c r="AJ9" s="412"/>
      <c r="AK9" s="412"/>
      <c r="AL9" s="412"/>
      <c r="AM9" s="411"/>
      <c r="AN9" s="411"/>
      <c r="AO9" s="411"/>
      <c r="AP9" s="411"/>
      <c r="AQ9" s="411"/>
      <c r="AR9" s="411"/>
      <c r="AS9" s="411"/>
      <c r="AT9" s="163"/>
      <c r="AU9" s="163"/>
      <c r="AV9" s="163"/>
      <c r="AW9" s="163"/>
      <c r="AX9" s="163"/>
      <c r="AY9" s="163"/>
      <c r="AZ9" s="163"/>
      <c r="BA9" s="164"/>
      <c r="BC9" s="180"/>
    </row>
    <row r="10" spans="2:55" ht="25.5" customHeight="1">
      <c r="B10" s="181">
        <v>1</v>
      </c>
      <c r="C10" s="486"/>
      <c r="D10" s="504"/>
      <c r="E10" s="473"/>
      <c r="F10" s="474"/>
      <c r="G10" s="514"/>
      <c r="H10" s="496"/>
      <c r="I10" s="496"/>
      <c r="J10" s="462" t="str">
        <f>IF(C10&lt;&gt;"",(F10*'Hilfsblatt ML'!$Q$2)+AR10,"")</f>
        <v/>
      </c>
      <c r="K10" s="482"/>
      <c r="L10" s="470" t="str">
        <f>IF(K10="1 Tag&gt;6h",Tagegeld!$C$3,IF(K10="1 Tag&gt;8h",Tagegeld!$C$4,IF(K10="1 Tag&gt;12h",Tagegeld!$C$5,IF(K10="2 Tage je&gt;6h",Tagegeld!$C$6,IF(K10="2 Tage je&gt;8h",Tagegeld!$C$7,IF(K10="2 Tage je&gt;12h",Tagegeld!$C$8,IF(K10="2 Tage 1x&gt;8h &amp; 1x&gt;6h",Tagegeld!$C$9,IF(K10="2 Tage 1x&gt;12h &amp; 1x&gt;6h",Tagegeld!$C$10,IF(K10="2 Tage 1x&gt;12h &amp; 1x&gt;8h",Tagegeld!$C$11,IF(K10="3 Tage 1x&gt;12h &amp; 1x&gt;8h &amp; 1x&gt;6h",Tagegeld!$C$12,""))))))))))</f>
        <v/>
      </c>
      <c r="M10" s="483"/>
      <c r="N10" s="484"/>
      <c r="O10" s="489"/>
      <c r="P10" s="462" t="str">
        <f t="shared" ref="P10:P34" si="0">_xlfn.IFNA(VLOOKUP(AE10,$AI$29:$AJ$40,2,0),"")</f>
        <v/>
      </c>
      <c r="Q10" s="463" t="str">
        <f t="shared" ref="Q10:Q34" si="1">_xlfn.IFNA(VLOOKUP(AE10,$AB$29:$AC$35,2,0),"")</f>
        <v/>
      </c>
      <c r="R10" s="478"/>
      <c r="S10" s="466" t="str">
        <f t="shared" ref="S10:S34" si="2">IF(C10="","",IF(J10&lt;&gt;"",J10,0)+IF(L10&lt;&gt;"",L10,0)+IF(M10&lt;&gt;"",M10,0)+IF(N10&lt;&gt;"",N10,0)+IF(P10&lt;&gt;"",P10,0)+IF(Q10&lt;&gt;"",Q10))</f>
        <v/>
      </c>
      <c r="T10" s="479"/>
      <c r="U10" s="727"/>
      <c r="V10" s="728"/>
      <c r="W10" s="411"/>
      <c r="X10" s="411"/>
      <c r="Y10" s="411"/>
      <c r="Z10" s="411" t="s">
        <v>328</v>
      </c>
      <c r="AA10" s="412">
        <v>0</v>
      </c>
      <c r="AB10" s="412">
        <v>10</v>
      </c>
      <c r="AC10" s="412">
        <v>20</v>
      </c>
      <c r="AD10" s="411" t="str">
        <f t="shared" ref="AD10:AD34" si="3">IF(E10=$Z$10,"sonst",IF(E10=$Z$11,"sonst",IF(E10=$Z$12,"sonst",IF(E10=$Z$13,"sonst",IF(E10=$Z$14,"sonst",IF(E10=$Z$15,"sonst","BBV"))))))</f>
        <v>BBV</v>
      </c>
      <c r="AE10" s="411" t="str">
        <f>AD10&amp;O10</f>
        <v>BBV</v>
      </c>
      <c r="AF10" s="411"/>
      <c r="AG10" s="411" t="s">
        <v>328</v>
      </c>
      <c r="AH10" s="412">
        <v>0</v>
      </c>
      <c r="AI10" s="412">
        <v>25</v>
      </c>
      <c r="AJ10" s="412">
        <v>50</v>
      </c>
      <c r="AK10" s="412" t="str">
        <f t="shared" ref="AK10:AK34" si="4">IF(P10=$Z$10,"sonst",IF(P10=$Z$11,"sonst","BBV"))</f>
        <v>BBV</v>
      </c>
      <c r="AL10" s="412" t="str">
        <f>AK10&amp;O10</f>
        <v>BBV</v>
      </c>
      <c r="AM10" s="411"/>
      <c r="AN10" s="411"/>
      <c r="AO10" s="411"/>
      <c r="AP10" s="411"/>
      <c r="AQ10" s="411"/>
      <c r="AR10" s="411">
        <f>H10*I10*Tagessätze!$C$3</f>
        <v>0</v>
      </c>
      <c r="AS10" s="411"/>
      <c r="AT10" s="163"/>
      <c r="AU10" s="163"/>
      <c r="AV10" s="163"/>
      <c r="AW10" s="163"/>
      <c r="AX10" s="163"/>
      <c r="AY10" s="163"/>
      <c r="AZ10" s="163"/>
      <c r="BA10" s="164"/>
    </row>
    <row r="11" spans="2:55" ht="25.5" customHeight="1">
      <c r="B11" s="182">
        <f>B10+1</f>
        <v>2</v>
      </c>
      <c r="C11" s="472"/>
      <c r="D11" s="504"/>
      <c r="E11" s="473"/>
      <c r="F11" s="475"/>
      <c r="G11" s="515"/>
      <c r="H11" s="497"/>
      <c r="I11" s="497"/>
      <c r="J11" s="462" t="str">
        <f>IF(C11&lt;&gt;"",(F11*'Hilfsblatt ML'!$Q$2)+AR11,"")</f>
        <v/>
      </c>
      <c r="K11" s="482"/>
      <c r="L11" s="470" t="str">
        <f>IF(K11="1 Tag&gt;6h",Tagegeld!$C$3,IF(K11="1 Tag&gt;8h",Tagegeld!$C$4,IF(K11="1 Tag&gt;12h",Tagegeld!$C$5,IF(K11="2 Tage je&gt;6h",Tagegeld!$C$6,IF(K11="2 Tage je&gt;8h",Tagegeld!$C$7,IF(K11="2 Tage je&gt;12h",Tagegeld!$C$8,IF(K11="2 Tage 1x&gt;8h &amp; 1x&gt;6h",Tagegeld!$C$9,IF(K11="2 Tage 1x&gt;12h &amp; 1x&gt;6h",Tagegeld!$C$10,IF(K11="2 Tage 1x&gt;12h &amp; 1x&gt;8h",Tagegeld!$C$11,IF(K11="3 Tage 1x&gt;12h &amp; 1x&gt;8h &amp; 1x&gt;6h",Tagegeld!$C$12,""))))))))))</f>
        <v/>
      </c>
      <c r="M11" s="483"/>
      <c r="N11" s="484"/>
      <c r="O11" s="488"/>
      <c r="P11" s="462" t="str">
        <f t="shared" si="0"/>
        <v/>
      </c>
      <c r="Q11" s="463" t="str">
        <f t="shared" si="1"/>
        <v/>
      </c>
      <c r="R11" s="478"/>
      <c r="S11" s="466" t="str">
        <f t="shared" si="2"/>
        <v/>
      </c>
      <c r="T11" s="480"/>
      <c r="U11" s="721"/>
      <c r="V11" s="722"/>
      <c r="W11" s="411"/>
      <c r="X11" s="411"/>
      <c r="Y11" s="411"/>
      <c r="Z11" s="411" t="s">
        <v>329</v>
      </c>
      <c r="AA11" s="412">
        <v>0</v>
      </c>
      <c r="AB11" s="412">
        <v>10</v>
      </c>
      <c r="AC11" s="412">
        <v>20</v>
      </c>
      <c r="AD11" s="411" t="str">
        <f t="shared" si="3"/>
        <v>BBV</v>
      </c>
      <c r="AE11" s="411" t="str">
        <f t="shared" ref="AE11:AE34" si="5">AD11&amp;O11</f>
        <v>BBV</v>
      </c>
      <c r="AF11" s="411"/>
      <c r="AG11" s="411" t="s">
        <v>329</v>
      </c>
      <c r="AH11" s="412">
        <v>0</v>
      </c>
      <c r="AI11" s="412">
        <v>25</v>
      </c>
      <c r="AJ11" s="412">
        <v>50</v>
      </c>
      <c r="AK11" s="412" t="str">
        <f t="shared" si="4"/>
        <v>BBV</v>
      </c>
      <c r="AL11" s="412" t="str">
        <f t="shared" ref="AL11:AL34" si="6">AK11&amp;O11</f>
        <v>BBV</v>
      </c>
      <c r="AM11" s="411"/>
      <c r="AN11" s="411"/>
      <c r="AO11" s="411"/>
      <c r="AP11" s="411"/>
      <c r="AQ11" s="411"/>
      <c r="AR11" s="411">
        <f>H11*I11*Tagessätze!$C$3</f>
        <v>0</v>
      </c>
      <c r="AS11" s="411"/>
      <c r="AT11" s="163"/>
      <c r="AU11" s="163"/>
      <c r="AV11" s="163"/>
      <c r="AW11" s="163"/>
      <c r="AX11" s="163"/>
      <c r="AY11" s="163"/>
      <c r="AZ11" s="163"/>
      <c r="BA11" s="164"/>
    </row>
    <row r="12" spans="2:55" ht="25.5" customHeight="1">
      <c r="B12" s="182">
        <f t="shared" ref="B12:B34" si="7">B11+1</f>
        <v>3</v>
      </c>
      <c r="C12" s="472"/>
      <c r="D12" s="504"/>
      <c r="E12" s="473"/>
      <c r="F12" s="475"/>
      <c r="G12" s="515"/>
      <c r="H12" s="497"/>
      <c r="I12" s="497"/>
      <c r="J12" s="462" t="str">
        <f>IF(C12&lt;&gt;"",(F12*'Hilfsblatt ML'!$Q$2)+AR12,"")</f>
        <v/>
      </c>
      <c r="K12" s="482"/>
      <c r="L12" s="470" t="str">
        <f>IF(K12="1 Tag&gt;6h",Tagegeld!$C$3,IF(K12="1 Tag&gt;8h",Tagegeld!$C$4,IF(K12="1 Tag&gt;12h",Tagegeld!$C$5,IF(K12="2 Tage je&gt;6h",Tagegeld!$C$6,IF(K12="2 Tage je&gt;8h",Tagegeld!$C$7,IF(K12="2 Tage je&gt;12h",Tagegeld!$C$8,IF(K12="2 Tage 1x&gt;8h &amp; 1x&gt;6h",Tagegeld!$C$9,IF(K12="2 Tage 1x&gt;12h &amp; 1x&gt;6h",Tagegeld!$C$10,IF(K12="2 Tage 1x&gt;12h &amp; 1x&gt;8h",Tagegeld!$C$11,IF(K12="3 Tage 1x&gt;12h &amp; 1x&gt;8h &amp; 1x&gt;6h",Tagegeld!$C$12,""))))))))))</f>
        <v/>
      </c>
      <c r="M12" s="483"/>
      <c r="N12" s="484"/>
      <c r="O12" s="488"/>
      <c r="P12" s="462" t="str">
        <f t="shared" si="0"/>
        <v/>
      </c>
      <c r="Q12" s="463" t="str">
        <f t="shared" si="1"/>
        <v/>
      </c>
      <c r="R12" s="478"/>
      <c r="S12" s="466" t="str">
        <f t="shared" si="2"/>
        <v/>
      </c>
      <c r="T12" s="480"/>
      <c r="U12" s="721"/>
      <c r="V12" s="722"/>
      <c r="W12" s="411"/>
      <c r="X12" s="411"/>
      <c r="Y12" s="411"/>
      <c r="Z12" s="411" t="s">
        <v>330</v>
      </c>
      <c r="AA12" s="412">
        <v>0</v>
      </c>
      <c r="AB12" s="412">
        <v>10</v>
      </c>
      <c r="AC12" s="412">
        <v>20</v>
      </c>
      <c r="AD12" s="411" t="str">
        <f t="shared" si="3"/>
        <v>BBV</v>
      </c>
      <c r="AE12" s="411" t="str">
        <f t="shared" si="5"/>
        <v>BBV</v>
      </c>
      <c r="AF12" s="411"/>
      <c r="AG12" s="411" t="s">
        <v>330</v>
      </c>
      <c r="AH12" s="412">
        <v>0</v>
      </c>
      <c r="AI12" s="412">
        <v>25</v>
      </c>
      <c r="AJ12" s="412">
        <v>50</v>
      </c>
      <c r="AK12" s="412" t="str">
        <f t="shared" si="4"/>
        <v>BBV</v>
      </c>
      <c r="AL12" s="412" t="str">
        <f t="shared" si="6"/>
        <v>BBV</v>
      </c>
      <c r="AM12" s="411"/>
      <c r="AN12" s="411"/>
      <c r="AO12" s="411"/>
      <c r="AP12" s="411"/>
      <c r="AQ12" s="411"/>
      <c r="AR12" s="411">
        <f>H12*I12*Tagessätze!$C$3</f>
        <v>0</v>
      </c>
      <c r="AS12" s="411"/>
      <c r="AT12" s="163"/>
      <c r="AU12" s="163"/>
      <c r="AV12" s="163"/>
      <c r="AW12" s="163"/>
      <c r="AX12" s="163"/>
      <c r="AY12" s="163"/>
      <c r="AZ12" s="163"/>
      <c r="BA12" s="164"/>
    </row>
    <row r="13" spans="2:55" ht="25.5" customHeight="1">
      <c r="B13" s="182">
        <f t="shared" si="7"/>
        <v>4</v>
      </c>
      <c r="C13" s="472"/>
      <c r="D13" s="504"/>
      <c r="E13" s="473"/>
      <c r="F13" s="475"/>
      <c r="G13" s="515"/>
      <c r="H13" s="497"/>
      <c r="I13" s="497"/>
      <c r="J13" s="462" t="str">
        <f>IF(C13&lt;&gt;"",(F13*'Hilfsblatt ML'!$Q$2)+AR13,"")</f>
        <v/>
      </c>
      <c r="K13" s="482"/>
      <c r="L13" s="470" t="str">
        <f>IF(K13="1 Tag&gt;6h",Tagegeld!$C$3,IF(K13="1 Tag&gt;8h",Tagegeld!$C$4,IF(K13="1 Tag&gt;12h",Tagegeld!$C$5,IF(K13="2 Tage je&gt;6h",Tagegeld!$C$6,IF(K13="2 Tage je&gt;8h",Tagegeld!$C$7,IF(K13="2 Tage je&gt;12h",Tagegeld!$C$8,IF(K13="2 Tage 1x&gt;8h &amp; 1x&gt;6h",Tagegeld!$C$9,IF(K13="2 Tage 1x&gt;12h &amp; 1x&gt;6h",Tagegeld!$C$10,IF(K13="2 Tage 1x&gt;12h &amp; 1x&gt;8h",Tagegeld!$C$11,IF(K13="3 Tage 1x&gt;12h &amp; 1x&gt;8h &amp; 1x&gt;6h",Tagegeld!$C$12,""))))))))))</f>
        <v/>
      </c>
      <c r="M13" s="483"/>
      <c r="N13" s="484"/>
      <c r="O13" s="488"/>
      <c r="P13" s="462" t="str">
        <f t="shared" si="0"/>
        <v/>
      </c>
      <c r="Q13" s="463" t="str">
        <f t="shared" si="1"/>
        <v/>
      </c>
      <c r="R13" s="478"/>
      <c r="S13" s="466" t="str">
        <f t="shared" si="2"/>
        <v/>
      </c>
      <c r="T13" s="480"/>
      <c r="U13" s="721"/>
      <c r="V13" s="722"/>
      <c r="W13" s="411"/>
      <c r="X13" s="411"/>
      <c r="Y13" s="411"/>
      <c r="Z13" s="411" t="s">
        <v>331</v>
      </c>
      <c r="AA13" s="412">
        <v>0</v>
      </c>
      <c r="AB13" s="412">
        <v>10</v>
      </c>
      <c r="AC13" s="412">
        <v>20</v>
      </c>
      <c r="AD13" s="411" t="str">
        <f t="shared" si="3"/>
        <v>BBV</v>
      </c>
      <c r="AE13" s="411" t="str">
        <f t="shared" si="5"/>
        <v>BBV</v>
      </c>
      <c r="AF13" s="411"/>
      <c r="AG13" s="411" t="s">
        <v>331</v>
      </c>
      <c r="AH13" s="412">
        <v>0</v>
      </c>
      <c r="AI13" s="412">
        <v>25</v>
      </c>
      <c r="AJ13" s="412">
        <v>50</v>
      </c>
      <c r="AK13" s="412" t="str">
        <f t="shared" si="4"/>
        <v>BBV</v>
      </c>
      <c r="AL13" s="412" t="str">
        <f t="shared" si="6"/>
        <v>BBV</v>
      </c>
      <c r="AM13" s="411"/>
      <c r="AN13" s="411"/>
      <c r="AO13" s="411"/>
      <c r="AP13" s="411"/>
      <c r="AQ13" s="411"/>
      <c r="AR13" s="411">
        <f>H13*I13*Tagessätze!$C$3</f>
        <v>0</v>
      </c>
      <c r="AS13" s="411"/>
      <c r="AT13" s="163"/>
      <c r="AU13" s="163"/>
      <c r="AV13" s="163"/>
      <c r="AW13" s="163"/>
      <c r="AX13" s="163"/>
      <c r="AY13" s="163"/>
      <c r="AZ13" s="163"/>
      <c r="BA13" s="164"/>
    </row>
    <row r="14" spans="2:55" ht="25.5" customHeight="1">
      <c r="B14" s="182">
        <f t="shared" si="7"/>
        <v>5</v>
      </c>
      <c r="C14" s="472"/>
      <c r="D14" s="504"/>
      <c r="E14" s="473"/>
      <c r="F14" s="475"/>
      <c r="G14" s="515"/>
      <c r="H14" s="497"/>
      <c r="I14" s="497"/>
      <c r="J14" s="462" t="str">
        <f>IF(C14&lt;&gt;"",(F14*'Hilfsblatt ML'!$Q$2)+AR14,"")</f>
        <v/>
      </c>
      <c r="K14" s="482"/>
      <c r="L14" s="470" t="str">
        <f>IF(K14="1 Tag&gt;6h",Tagegeld!$C$3,IF(K14="1 Tag&gt;8h",Tagegeld!$C$4,IF(K14="1 Tag&gt;12h",Tagegeld!$C$5,IF(K14="2 Tage je&gt;6h",Tagegeld!$C$6,IF(K14="2 Tage je&gt;8h",Tagegeld!$C$7,IF(K14="2 Tage je&gt;12h",Tagegeld!$C$8,IF(K14="2 Tage 1x&gt;8h &amp; 1x&gt;6h",Tagegeld!$C$9,IF(K14="2 Tage 1x&gt;12h &amp; 1x&gt;6h",Tagegeld!$C$10,IF(K14="2 Tage 1x&gt;12h &amp; 1x&gt;8h",Tagegeld!$C$11,IF(K14="3 Tage 1x&gt;12h &amp; 1x&gt;8h &amp; 1x&gt;6h",Tagegeld!$C$12,""))))))))))</f>
        <v/>
      </c>
      <c r="M14" s="483"/>
      <c r="N14" s="484"/>
      <c r="O14" s="488"/>
      <c r="P14" s="462" t="str">
        <f t="shared" si="0"/>
        <v/>
      </c>
      <c r="Q14" s="463" t="str">
        <f t="shared" si="1"/>
        <v/>
      </c>
      <c r="R14" s="478"/>
      <c r="S14" s="466" t="str">
        <f t="shared" si="2"/>
        <v/>
      </c>
      <c r="T14" s="480"/>
      <c r="U14" s="721"/>
      <c r="V14" s="722"/>
      <c r="W14" s="411"/>
      <c r="X14" s="411"/>
      <c r="Y14" s="411"/>
      <c r="Z14" s="411" t="s">
        <v>332</v>
      </c>
      <c r="AA14" s="412">
        <v>0</v>
      </c>
      <c r="AB14" s="412">
        <v>10</v>
      </c>
      <c r="AC14" s="412">
        <v>20</v>
      </c>
      <c r="AD14" s="411" t="str">
        <f t="shared" si="3"/>
        <v>BBV</v>
      </c>
      <c r="AE14" s="411" t="str">
        <f t="shared" si="5"/>
        <v>BBV</v>
      </c>
      <c r="AF14" s="411"/>
      <c r="AG14" s="411" t="s">
        <v>332</v>
      </c>
      <c r="AH14" s="412">
        <v>0</v>
      </c>
      <c r="AI14" s="412">
        <v>25</v>
      </c>
      <c r="AJ14" s="412">
        <v>50</v>
      </c>
      <c r="AK14" s="412" t="str">
        <f t="shared" si="4"/>
        <v>BBV</v>
      </c>
      <c r="AL14" s="412" t="str">
        <f t="shared" si="6"/>
        <v>BBV</v>
      </c>
      <c r="AM14" s="411"/>
      <c r="AN14" s="411"/>
      <c r="AO14" s="411"/>
      <c r="AP14" s="411"/>
      <c r="AQ14" s="411"/>
      <c r="AR14" s="411">
        <f>H14*I14*Tagessätze!$C$3</f>
        <v>0</v>
      </c>
      <c r="AS14" s="411"/>
      <c r="AT14" s="163"/>
      <c r="AU14" s="163"/>
      <c r="AV14" s="163"/>
      <c r="AW14" s="163"/>
      <c r="AX14" s="163"/>
      <c r="AY14" s="163"/>
      <c r="AZ14" s="163"/>
      <c r="BA14" s="164"/>
    </row>
    <row r="15" spans="2:55" ht="25.5" customHeight="1">
      <c r="B15" s="182">
        <f t="shared" si="7"/>
        <v>6</v>
      </c>
      <c r="C15" s="472"/>
      <c r="D15" s="504"/>
      <c r="E15" s="473"/>
      <c r="F15" s="475"/>
      <c r="G15" s="515"/>
      <c r="H15" s="497"/>
      <c r="I15" s="497"/>
      <c r="J15" s="462" t="str">
        <f>IF(C15&lt;&gt;"",(F15*'Hilfsblatt ML'!$Q$2)+AR15,"")</f>
        <v/>
      </c>
      <c r="K15" s="482"/>
      <c r="L15" s="470" t="str">
        <f>IF(K15="1 Tag&gt;6h",Tagegeld!$C$3,IF(K15="1 Tag&gt;8h",Tagegeld!$C$4,IF(K15="1 Tag&gt;12h",Tagegeld!$C$5,IF(K15="2 Tage je&gt;6h",Tagegeld!$C$6,IF(K15="2 Tage je&gt;8h",Tagegeld!$C$7,IF(K15="2 Tage je&gt;12h",Tagegeld!$C$8,IF(K15="2 Tage 1x&gt;8h &amp; 1x&gt;6h",Tagegeld!$C$9,IF(K15="2 Tage 1x&gt;12h &amp; 1x&gt;6h",Tagegeld!$C$10,IF(K15="2 Tage 1x&gt;12h &amp; 1x&gt;8h",Tagegeld!$C$11,IF(K15="3 Tage 1x&gt;12h &amp; 1x&gt;8h &amp; 1x&gt;6h",Tagegeld!$C$12,""))))))))))</f>
        <v/>
      </c>
      <c r="M15" s="483"/>
      <c r="N15" s="484"/>
      <c r="O15" s="488"/>
      <c r="P15" s="462" t="str">
        <f t="shared" si="0"/>
        <v/>
      </c>
      <c r="Q15" s="463" t="str">
        <f t="shared" si="1"/>
        <v/>
      </c>
      <c r="R15" s="478"/>
      <c r="S15" s="466" t="str">
        <f t="shared" si="2"/>
        <v/>
      </c>
      <c r="T15" s="480"/>
      <c r="U15" s="721"/>
      <c r="V15" s="722"/>
      <c r="W15" s="411"/>
      <c r="X15" s="411"/>
      <c r="Y15" s="411"/>
      <c r="Z15" s="411" t="s">
        <v>333</v>
      </c>
      <c r="AA15" s="412">
        <v>0</v>
      </c>
      <c r="AB15" s="412">
        <v>10</v>
      </c>
      <c r="AC15" s="412">
        <v>20</v>
      </c>
      <c r="AD15" s="411" t="str">
        <f t="shared" si="3"/>
        <v>BBV</v>
      </c>
      <c r="AE15" s="411" t="str">
        <f t="shared" si="5"/>
        <v>BBV</v>
      </c>
      <c r="AF15" s="411"/>
      <c r="AG15" s="411" t="s">
        <v>333</v>
      </c>
      <c r="AH15" s="412">
        <v>0</v>
      </c>
      <c r="AI15" s="412">
        <v>25</v>
      </c>
      <c r="AJ15" s="412">
        <v>50</v>
      </c>
      <c r="AK15" s="412" t="str">
        <f t="shared" si="4"/>
        <v>BBV</v>
      </c>
      <c r="AL15" s="412" t="str">
        <f t="shared" si="6"/>
        <v>BBV</v>
      </c>
      <c r="AM15" s="411"/>
      <c r="AN15" s="411"/>
      <c r="AO15" s="411"/>
      <c r="AP15" s="411"/>
      <c r="AQ15" s="411"/>
      <c r="AR15" s="411">
        <f>H15*I15*Tagessätze!$C$3</f>
        <v>0</v>
      </c>
      <c r="AS15" s="411"/>
      <c r="AT15" s="163"/>
      <c r="AU15" s="163"/>
      <c r="AV15" s="163"/>
      <c r="AW15" s="163"/>
      <c r="AX15" s="163"/>
      <c r="AY15" s="163"/>
      <c r="AZ15" s="163"/>
      <c r="BA15" s="164"/>
    </row>
    <row r="16" spans="2:55" ht="25.5" customHeight="1">
      <c r="B16" s="182">
        <f t="shared" si="7"/>
        <v>7</v>
      </c>
      <c r="C16" s="472"/>
      <c r="D16" s="504"/>
      <c r="E16" s="473"/>
      <c r="F16" s="475"/>
      <c r="G16" s="515"/>
      <c r="H16" s="497"/>
      <c r="I16" s="497"/>
      <c r="J16" s="462" t="str">
        <f>IF(C16&lt;&gt;"",(F16*'Hilfsblatt ML'!$Q$2)+AR16,"")</f>
        <v/>
      </c>
      <c r="K16" s="482"/>
      <c r="L16" s="470" t="str">
        <f>IF(K16="1 Tag&gt;6h",Tagegeld!$C$3,IF(K16="1 Tag&gt;8h",Tagegeld!$C$4,IF(K16="1 Tag&gt;12h",Tagegeld!$C$5,IF(K16="2 Tage je&gt;6h",Tagegeld!$C$6,IF(K16="2 Tage je&gt;8h",Tagegeld!$C$7,IF(K16="2 Tage je&gt;12h",Tagegeld!$C$8,IF(K16="2 Tage 1x&gt;8h &amp; 1x&gt;6h",Tagegeld!$C$9,IF(K16="2 Tage 1x&gt;12h &amp; 1x&gt;6h",Tagegeld!$C$10,IF(K16="2 Tage 1x&gt;12h &amp; 1x&gt;8h",Tagegeld!$C$11,IF(K16="3 Tage 1x&gt;12h &amp; 1x&gt;8h &amp; 1x&gt;6h",Tagegeld!$C$12,""))))))))))</f>
        <v/>
      </c>
      <c r="M16" s="483"/>
      <c r="N16" s="484"/>
      <c r="O16" s="488"/>
      <c r="P16" s="462" t="str">
        <f t="shared" si="0"/>
        <v/>
      </c>
      <c r="Q16" s="463" t="str">
        <f t="shared" si="1"/>
        <v/>
      </c>
      <c r="R16" s="478"/>
      <c r="S16" s="466" t="str">
        <f t="shared" si="2"/>
        <v/>
      </c>
      <c r="T16" s="480"/>
      <c r="U16" s="721"/>
      <c r="V16" s="722"/>
      <c r="W16" s="411"/>
      <c r="X16" s="411"/>
      <c r="Y16" s="411"/>
      <c r="Z16" s="411"/>
      <c r="AA16" s="412"/>
      <c r="AB16" s="412"/>
      <c r="AC16" s="412"/>
      <c r="AD16" s="411" t="str">
        <f t="shared" si="3"/>
        <v>BBV</v>
      </c>
      <c r="AE16" s="411" t="str">
        <f t="shared" si="5"/>
        <v>BBV</v>
      </c>
      <c r="AF16" s="411"/>
      <c r="AG16" s="411"/>
      <c r="AH16" s="412"/>
      <c r="AI16" s="412"/>
      <c r="AJ16" s="412"/>
      <c r="AK16" s="412" t="str">
        <f t="shared" si="4"/>
        <v>BBV</v>
      </c>
      <c r="AL16" s="412" t="str">
        <f t="shared" si="6"/>
        <v>BBV</v>
      </c>
      <c r="AM16" s="411"/>
      <c r="AN16" s="411"/>
      <c r="AO16" s="411"/>
      <c r="AP16" s="411"/>
      <c r="AQ16" s="411"/>
      <c r="AR16" s="411">
        <f>H16*I16*Tagessätze!$C$3</f>
        <v>0</v>
      </c>
      <c r="AS16" s="411"/>
      <c r="AT16" s="163"/>
      <c r="AU16" s="163"/>
      <c r="AV16" s="163"/>
      <c r="AW16" s="163"/>
      <c r="AX16" s="163"/>
      <c r="AY16" s="163"/>
      <c r="AZ16" s="163"/>
      <c r="BA16" s="164"/>
    </row>
    <row r="17" spans="2:53" ht="25.5" customHeight="1">
      <c r="B17" s="182">
        <f t="shared" si="7"/>
        <v>8</v>
      </c>
      <c r="C17" s="472"/>
      <c r="D17" s="504"/>
      <c r="E17" s="473"/>
      <c r="F17" s="475"/>
      <c r="G17" s="515"/>
      <c r="H17" s="497"/>
      <c r="I17" s="497"/>
      <c r="J17" s="462" t="str">
        <f>IF(C17&lt;&gt;"",(F17*'Hilfsblatt ML'!$Q$2)+AR17,"")</f>
        <v/>
      </c>
      <c r="K17" s="482"/>
      <c r="L17" s="470" t="str">
        <f>IF(K17="1 Tag&gt;6h",Tagegeld!$C$3,IF(K17="1 Tag&gt;8h",Tagegeld!$C$4,IF(K17="1 Tag&gt;12h",Tagegeld!$C$5,IF(K17="2 Tage je&gt;6h",Tagegeld!$C$6,IF(K17="2 Tage je&gt;8h",Tagegeld!$C$7,IF(K17="2 Tage je&gt;12h",Tagegeld!$C$8,IF(K17="2 Tage 1x&gt;8h &amp; 1x&gt;6h",Tagegeld!$C$9,IF(K17="2 Tage 1x&gt;12h &amp; 1x&gt;6h",Tagegeld!$C$10,IF(K17="2 Tage 1x&gt;12h &amp; 1x&gt;8h",Tagegeld!$C$11,IF(K17="3 Tage 1x&gt;12h &amp; 1x&gt;8h &amp; 1x&gt;6h",Tagegeld!$C$12,""))))))))))</f>
        <v/>
      </c>
      <c r="M17" s="483"/>
      <c r="N17" s="484"/>
      <c r="O17" s="488"/>
      <c r="P17" s="462" t="str">
        <f t="shared" si="0"/>
        <v/>
      </c>
      <c r="Q17" s="463" t="str">
        <f t="shared" si="1"/>
        <v/>
      </c>
      <c r="R17" s="478"/>
      <c r="S17" s="466" t="str">
        <f t="shared" ref="S17" si="8">IF(C17="","",IF(J17&lt;&gt;"",J17,0)+IF(L17&lt;&gt;"",L17,0)+IF(M17&lt;&gt;"",M17,0)+IF(N17&lt;&gt;"",N17,0)+IF(P17&lt;&gt;"",P17,0)+IF(Q17&lt;&gt;"",Q17))</f>
        <v/>
      </c>
      <c r="T17" s="480"/>
      <c r="U17" s="721"/>
      <c r="V17" s="722"/>
      <c r="W17" s="411"/>
      <c r="X17" s="411"/>
      <c r="Y17" s="411"/>
      <c r="Z17" s="411"/>
      <c r="AA17" s="412"/>
      <c r="AB17" s="412"/>
      <c r="AC17" s="412"/>
      <c r="AD17" s="411" t="str">
        <f t="shared" ref="AD17" si="9">IF(E17=$Z$10,"sonst",IF(E17=$Z$11,"sonst",IF(E17=$Z$12,"sonst",IF(E17=$Z$13,"sonst",IF(E17=$Z$14,"sonst",IF(E17=$Z$15,"sonst","BBV"))))))</f>
        <v>BBV</v>
      </c>
      <c r="AE17" s="411" t="str">
        <f t="shared" ref="AE17" si="10">AD17&amp;O17</f>
        <v>BBV</v>
      </c>
      <c r="AF17" s="411"/>
      <c r="AG17" s="411"/>
      <c r="AH17" s="412"/>
      <c r="AI17" s="412"/>
      <c r="AJ17" s="412"/>
      <c r="AK17" s="412" t="str">
        <f t="shared" ref="AK17" si="11">IF(P17=$Z$10,"sonst",IF(P17=$Z$11,"sonst","BBV"))</f>
        <v>BBV</v>
      </c>
      <c r="AL17" s="412" t="str">
        <f t="shared" ref="AL17" si="12">AK17&amp;O17</f>
        <v>BBV</v>
      </c>
      <c r="AM17" s="411"/>
      <c r="AN17" s="411"/>
      <c r="AO17" s="411"/>
      <c r="AP17" s="411"/>
      <c r="AQ17" s="411"/>
      <c r="AR17" s="411">
        <f>H17*I17*Tagessätze!$C$3</f>
        <v>0</v>
      </c>
      <c r="AS17" s="411"/>
      <c r="AT17" s="163"/>
      <c r="AU17" s="163"/>
      <c r="AV17" s="163"/>
      <c r="AW17" s="163"/>
      <c r="AX17" s="163"/>
      <c r="AY17" s="163"/>
      <c r="AZ17" s="163"/>
      <c r="BA17" s="164"/>
    </row>
    <row r="18" spans="2:53" ht="25.5" customHeight="1">
      <c r="B18" s="182">
        <f t="shared" si="7"/>
        <v>9</v>
      </c>
      <c r="C18" s="472"/>
      <c r="D18" s="504"/>
      <c r="E18" s="473"/>
      <c r="F18" s="475"/>
      <c r="G18" s="515"/>
      <c r="H18" s="497"/>
      <c r="I18" s="497"/>
      <c r="J18" s="462" t="str">
        <f>IF(C18&lt;&gt;"",(F18*'Hilfsblatt ML'!$Q$2)+AR18,"")</f>
        <v/>
      </c>
      <c r="K18" s="482"/>
      <c r="L18" s="470" t="str">
        <f>IF(K18="1 Tag&gt;6h",Tagegeld!$C$3,IF(K18="1 Tag&gt;8h",Tagegeld!$C$4,IF(K18="1 Tag&gt;12h",Tagegeld!$C$5,IF(K18="2 Tage je&gt;6h",Tagegeld!$C$6,IF(K18="2 Tage je&gt;8h",Tagegeld!$C$7,IF(K18="2 Tage je&gt;12h",Tagegeld!$C$8,IF(K18="2 Tage 1x&gt;8h &amp; 1x&gt;6h",Tagegeld!$C$9,IF(K18="2 Tage 1x&gt;12h &amp; 1x&gt;6h",Tagegeld!$C$10,IF(K18="2 Tage 1x&gt;12h &amp; 1x&gt;8h",Tagegeld!$C$11,IF(K18="3 Tage 1x&gt;12h &amp; 1x&gt;8h &amp; 1x&gt;6h",Tagegeld!$C$12,""))))))))))</f>
        <v/>
      </c>
      <c r="M18" s="483"/>
      <c r="N18" s="484"/>
      <c r="O18" s="488"/>
      <c r="P18" s="462" t="str">
        <f t="shared" si="0"/>
        <v/>
      </c>
      <c r="Q18" s="463" t="str">
        <f t="shared" si="1"/>
        <v/>
      </c>
      <c r="R18" s="478"/>
      <c r="S18" s="466" t="str">
        <f t="shared" ref="S18" si="13">IF(C18="","",IF(J18&lt;&gt;"",J18,0)+IF(L18&lt;&gt;"",L18,0)+IF(M18&lt;&gt;"",M18,0)+IF(N18&lt;&gt;"",N18,0)+IF(P18&lt;&gt;"",P18,0)+IF(Q18&lt;&gt;"",Q18))</f>
        <v/>
      </c>
      <c r="T18" s="480"/>
      <c r="U18" s="721"/>
      <c r="V18" s="722"/>
      <c r="W18" s="411"/>
      <c r="X18" s="411"/>
      <c r="Y18" s="411"/>
      <c r="Z18" s="411"/>
      <c r="AA18" s="412"/>
      <c r="AB18" s="412"/>
      <c r="AC18" s="412"/>
      <c r="AD18" s="411" t="str">
        <f t="shared" ref="AD18" si="14">IF(E18=$Z$10,"sonst",IF(E18=$Z$11,"sonst",IF(E18=$Z$12,"sonst",IF(E18=$Z$13,"sonst",IF(E18=$Z$14,"sonst",IF(E18=$Z$15,"sonst","BBV"))))))</f>
        <v>BBV</v>
      </c>
      <c r="AE18" s="411" t="str">
        <f t="shared" ref="AE18" si="15">AD18&amp;O18</f>
        <v>BBV</v>
      </c>
      <c r="AF18" s="411"/>
      <c r="AG18" s="411"/>
      <c r="AH18" s="412"/>
      <c r="AI18" s="412"/>
      <c r="AJ18" s="412"/>
      <c r="AK18" s="412" t="str">
        <f t="shared" ref="AK18" si="16">IF(P18=$Z$10,"sonst",IF(P18=$Z$11,"sonst","BBV"))</f>
        <v>BBV</v>
      </c>
      <c r="AL18" s="412" t="str">
        <f t="shared" ref="AL18" si="17">AK18&amp;O18</f>
        <v>BBV</v>
      </c>
      <c r="AM18" s="411"/>
      <c r="AN18" s="411"/>
      <c r="AO18" s="411"/>
      <c r="AP18" s="411"/>
      <c r="AQ18" s="411"/>
      <c r="AR18" s="411">
        <f>H18*I18*Tagessätze!$C$3</f>
        <v>0</v>
      </c>
      <c r="AS18" s="411"/>
      <c r="AT18" s="163"/>
      <c r="AU18" s="163"/>
      <c r="AV18" s="163"/>
      <c r="AW18" s="163"/>
      <c r="AX18" s="163"/>
      <c r="AY18" s="163"/>
      <c r="AZ18" s="163"/>
      <c r="BA18" s="164"/>
    </row>
    <row r="19" spans="2:53" ht="25.5" customHeight="1">
      <c r="B19" s="182">
        <f t="shared" si="7"/>
        <v>10</v>
      </c>
      <c r="C19" s="472"/>
      <c r="D19" s="504"/>
      <c r="E19" s="473"/>
      <c r="F19" s="475"/>
      <c r="G19" s="515"/>
      <c r="H19" s="497"/>
      <c r="I19" s="497"/>
      <c r="J19" s="462" t="str">
        <f>IF(C19&lt;&gt;"",(F19*'Hilfsblatt ML'!$Q$2)+AR19,"")</f>
        <v/>
      </c>
      <c r="K19" s="482"/>
      <c r="L19" s="470" t="str">
        <f>IF(K19="1 Tag&gt;6h",Tagegeld!$C$3,IF(K19="1 Tag&gt;8h",Tagegeld!$C$4,IF(K19="1 Tag&gt;12h",Tagegeld!$C$5,IF(K19="2 Tage je&gt;6h",Tagegeld!$C$6,IF(K19="2 Tage je&gt;8h",Tagegeld!$C$7,IF(K19="2 Tage je&gt;12h",Tagegeld!$C$8,IF(K19="2 Tage 1x&gt;8h &amp; 1x&gt;6h",Tagegeld!$C$9,IF(K19="2 Tage 1x&gt;12h &amp; 1x&gt;6h",Tagegeld!$C$10,IF(K19="2 Tage 1x&gt;12h &amp; 1x&gt;8h",Tagegeld!$C$11,IF(K19="3 Tage 1x&gt;12h &amp; 1x&gt;8h &amp; 1x&gt;6h",Tagegeld!$C$12,""))))))))))</f>
        <v/>
      </c>
      <c r="M19" s="483"/>
      <c r="N19" s="484"/>
      <c r="O19" s="488"/>
      <c r="P19" s="462" t="str">
        <f t="shared" si="0"/>
        <v/>
      </c>
      <c r="Q19" s="463" t="str">
        <f t="shared" si="1"/>
        <v/>
      </c>
      <c r="R19" s="478"/>
      <c r="S19" s="466" t="str">
        <f t="shared" ref="S19" si="18">IF(C19="","",IF(J19&lt;&gt;"",J19,0)+IF(L19&lt;&gt;"",L19,0)+IF(M19&lt;&gt;"",M19,0)+IF(N19&lt;&gt;"",N19,0)+IF(P19&lt;&gt;"",P19,0)+IF(Q19&lt;&gt;"",Q19))</f>
        <v/>
      </c>
      <c r="T19" s="480"/>
      <c r="U19" s="721"/>
      <c r="V19" s="722"/>
      <c r="W19" s="411"/>
      <c r="X19" s="411"/>
      <c r="Y19" s="411"/>
      <c r="Z19" s="411"/>
      <c r="AA19" s="412"/>
      <c r="AB19" s="412"/>
      <c r="AC19" s="412"/>
      <c r="AD19" s="411" t="str">
        <f t="shared" ref="AD19" si="19">IF(E19=$Z$10,"sonst",IF(E19=$Z$11,"sonst",IF(E19=$Z$12,"sonst",IF(E19=$Z$13,"sonst",IF(E19=$Z$14,"sonst",IF(E19=$Z$15,"sonst","BBV"))))))</f>
        <v>BBV</v>
      </c>
      <c r="AE19" s="411" t="str">
        <f t="shared" ref="AE19" si="20">AD19&amp;O19</f>
        <v>BBV</v>
      </c>
      <c r="AF19" s="411"/>
      <c r="AG19" s="411"/>
      <c r="AH19" s="412"/>
      <c r="AI19" s="412"/>
      <c r="AJ19" s="412"/>
      <c r="AK19" s="412" t="str">
        <f t="shared" ref="AK19" si="21">IF(P19=$Z$10,"sonst",IF(P19=$Z$11,"sonst","BBV"))</f>
        <v>BBV</v>
      </c>
      <c r="AL19" s="412" t="str">
        <f t="shared" ref="AL19" si="22">AK19&amp;O19</f>
        <v>BBV</v>
      </c>
      <c r="AM19" s="411"/>
      <c r="AN19" s="411"/>
      <c r="AO19" s="411"/>
      <c r="AP19" s="411"/>
      <c r="AQ19" s="411"/>
      <c r="AR19" s="411">
        <f>H19*I19*Tagessätze!$C$3</f>
        <v>0</v>
      </c>
      <c r="AS19" s="411"/>
      <c r="AT19" s="163"/>
      <c r="AU19" s="163"/>
      <c r="AV19" s="163"/>
      <c r="AW19" s="163"/>
      <c r="AX19" s="163"/>
      <c r="AY19" s="163"/>
      <c r="AZ19" s="163"/>
      <c r="BA19" s="164"/>
    </row>
    <row r="20" spans="2:53" ht="25.5" customHeight="1">
      <c r="B20" s="182">
        <f t="shared" si="7"/>
        <v>11</v>
      </c>
      <c r="C20" s="472"/>
      <c r="D20" s="504"/>
      <c r="E20" s="473"/>
      <c r="F20" s="475"/>
      <c r="G20" s="515"/>
      <c r="H20" s="497"/>
      <c r="I20" s="497"/>
      <c r="J20" s="462" t="str">
        <f>IF(C20&lt;&gt;"",(F20*'Hilfsblatt ML'!$Q$2)+AR20,"")</f>
        <v/>
      </c>
      <c r="K20" s="482"/>
      <c r="L20" s="470" t="str">
        <f>IF(K20="1 Tag&gt;6h",Tagegeld!$C$3,IF(K20="1 Tag&gt;8h",Tagegeld!$C$4,IF(K20="1 Tag&gt;12h",Tagegeld!$C$5,IF(K20="2 Tage je&gt;6h",Tagegeld!$C$6,IF(K20="2 Tage je&gt;8h",Tagegeld!$C$7,IF(K20="2 Tage je&gt;12h",Tagegeld!$C$8,IF(K20="2 Tage 1x&gt;8h &amp; 1x&gt;6h",Tagegeld!$C$9,IF(K20="2 Tage 1x&gt;12h &amp; 1x&gt;6h",Tagegeld!$C$10,IF(K20="2 Tage 1x&gt;12h &amp; 1x&gt;8h",Tagegeld!$C$11,IF(K20="3 Tage 1x&gt;12h &amp; 1x&gt;8h &amp; 1x&gt;6h",Tagegeld!$C$12,""))))))))))</f>
        <v/>
      </c>
      <c r="M20" s="483"/>
      <c r="N20" s="484"/>
      <c r="O20" s="488"/>
      <c r="P20" s="462" t="str">
        <f t="shared" si="0"/>
        <v/>
      </c>
      <c r="Q20" s="463" t="str">
        <f t="shared" si="1"/>
        <v/>
      </c>
      <c r="R20" s="478"/>
      <c r="S20" s="466" t="str">
        <f t="shared" ref="S20" si="23">IF(C20="","",IF(J20&lt;&gt;"",J20,0)+IF(L20&lt;&gt;"",L20,0)+IF(M20&lt;&gt;"",M20,0)+IF(N20&lt;&gt;"",N20,0)+IF(P20&lt;&gt;"",P20,0)+IF(Q20&lt;&gt;"",Q20))</f>
        <v/>
      </c>
      <c r="T20" s="480"/>
      <c r="U20" s="721"/>
      <c r="V20" s="722"/>
      <c r="W20" s="411"/>
      <c r="X20" s="411"/>
      <c r="Y20" s="411"/>
      <c r="Z20" s="411"/>
      <c r="AA20" s="412"/>
      <c r="AB20" s="412"/>
      <c r="AC20" s="412"/>
      <c r="AD20" s="411" t="str">
        <f t="shared" ref="AD20" si="24">IF(E20=$Z$10,"sonst",IF(E20=$Z$11,"sonst",IF(E20=$Z$12,"sonst",IF(E20=$Z$13,"sonst",IF(E20=$Z$14,"sonst",IF(E20=$Z$15,"sonst","BBV"))))))</f>
        <v>BBV</v>
      </c>
      <c r="AE20" s="411" t="str">
        <f t="shared" ref="AE20" si="25">AD20&amp;O20</f>
        <v>BBV</v>
      </c>
      <c r="AF20" s="411"/>
      <c r="AG20" s="411"/>
      <c r="AH20" s="412"/>
      <c r="AI20" s="412"/>
      <c r="AJ20" s="412"/>
      <c r="AK20" s="412" t="str">
        <f t="shared" ref="AK20" si="26">IF(P20=$Z$10,"sonst",IF(P20=$Z$11,"sonst","BBV"))</f>
        <v>BBV</v>
      </c>
      <c r="AL20" s="412" t="str">
        <f t="shared" ref="AL20" si="27">AK20&amp;O20</f>
        <v>BBV</v>
      </c>
      <c r="AM20" s="411"/>
      <c r="AN20" s="411"/>
      <c r="AO20" s="411"/>
      <c r="AP20" s="411"/>
      <c r="AQ20" s="411"/>
      <c r="AR20" s="411">
        <f>H20*I20*Tagessätze!$C$3</f>
        <v>0</v>
      </c>
      <c r="AS20" s="411"/>
      <c r="AT20" s="163"/>
      <c r="AU20" s="163"/>
      <c r="AV20" s="163"/>
      <c r="AW20" s="163"/>
      <c r="AX20" s="163"/>
      <c r="AY20" s="163"/>
      <c r="AZ20" s="163"/>
      <c r="BA20" s="164"/>
    </row>
    <row r="21" spans="2:53" ht="25.5" customHeight="1">
      <c r="B21" s="182">
        <f t="shared" si="7"/>
        <v>12</v>
      </c>
      <c r="C21" s="472"/>
      <c r="D21" s="504"/>
      <c r="E21" s="473"/>
      <c r="F21" s="475"/>
      <c r="G21" s="515"/>
      <c r="H21" s="497"/>
      <c r="I21" s="497"/>
      <c r="J21" s="462" t="str">
        <f>IF(C21&lt;&gt;"",(F21*'Hilfsblatt ML'!$Q$2)+AR21,"")</f>
        <v/>
      </c>
      <c r="K21" s="482"/>
      <c r="L21" s="470" t="str">
        <f>IF(K21="1 Tag&gt;6h",Tagegeld!$C$3,IF(K21="1 Tag&gt;8h",Tagegeld!$C$4,IF(K21="1 Tag&gt;12h",Tagegeld!$C$5,IF(K21="2 Tage je&gt;6h",Tagegeld!$C$6,IF(K21="2 Tage je&gt;8h",Tagegeld!$C$7,IF(K21="2 Tage je&gt;12h",Tagegeld!$C$8,IF(K21="2 Tage 1x&gt;8h &amp; 1x&gt;6h",Tagegeld!$C$9,IF(K21="2 Tage 1x&gt;12h &amp; 1x&gt;6h",Tagegeld!$C$10,IF(K21="2 Tage 1x&gt;12h &amp; 1x&gt;8h",Tagegeld!$C$11,IF(K21="3 Tage 1x&gt;12h &amp; 1x&gt;8h &amp; 1x&gt;6h",Tagegeld!$C$12,""))))))))))</f>
        <v/>
      </c>
      <c r="M21" s="483"/>
      <c r="N21" s="484"/>
      <c r="O21" s="488"/>
      <c r="P21" s="462" t="str">
        <f t="shared" si="0"/>
        <v/>
      </c>
      <c r="Q21" s="463" t="str">
        <f t="shared" si="1"/>
        <v/>
      </c>
      <c r="R21" s="478"/>
      <c r="S21" s="466" t="str">
        <f t="shared" ref="S21" si="28">IF(C21="","",IF(J21&lt;&gt;"",J21,0)+IF(L21&lt;&gt;"",L21,0)+IF(M21&lt;&gt;"",M21,0)+IF(N21&lt;&gt;"",N21,0)+IF(P21&lt;&gt;"",P21,0)+IF(Q21&lt;&gt;"",Q21))</f>
        <v/>
      </c>
      <c r="T21" s="480"/>
      <c r="U21" s="721"/>
      <c r="V21" s="722"/>
      <c r="W21" s="411"/>
      <c r="X21" s="411"/>
      <c r="Y21" s="411"/>
      <c r="Z21" s="411"/>
      <c r="AA21" s="412"/>
      <c r="AB21" s="412"/>
      <c r="AC21" s="412"/>
      <c r="AD21" s="411" t="str">
        <f t="shared" ref="AD21" si="29">IF(E21=$Z$10,"sonst",IF(E21=$Z$11,"sonst",IF(E21=$Z$12,"sonst",IF(E21=$Z$13,"sonst",IF(E21=$Z$14,"sonst",IF(E21=$Z$15,"sonst","BBV"))))))</f>
        <v>BBV</v>
      </c>
      <c r="AE21" s="411" t="str">
        <f t="shared" ref="AE21" si="30">AD21&amp;O21</f>
        <v>BBV</v>
      </c>
      <c r="AF21" s="411"/>
      <c r="AG21" s="411"/>
      <c r="AH21" s="412"/>
      <c r="AI21" s="412"/>
      <c r="AJ21" s="412"/>
      <c r="AK21" s="412" t="str">
        <f t="shared" ref="AK21" si="31">IF(P21=$Z$10,"sonst",IF(P21=$Z$11,"sonst","BBV"))</f>
        <v>BBV</v>
      </c>
      <c r="AL21" s="412" t="str">
        <f t="shared" ref="AL21" si="32">AK21&amp;O21</f>
        <v>BBV</v>
      </c>
      <c r="AM21" s="411"/>
      <c r="AN21" s="411"/>
      <c r="AO21" s="411"/>
      <c r="AP21" s="411"/>
      <c r="AQ21" s="411"/>
      <c r="AR21" s="411">
        <f>H21*I21*Tagessätze!$C$3</f>
        <v>0</v>
      </c>
      <c r="AS21" s="411"/>
      <c r="AT21" s="163"/>
      <c r="AU21" s="163"/>
      <c r="AV21" s="163"/>
      <c r="AW21" s="163"/>
      <c r="AX21" s="163"/>
      <c r="AY21" s="163"/>
      <c r="AZ21" s="163"/>
      <c r="BA21" s="164"/>
    </row>
    <row r="22" spans="2:53" ht="25.5" customHeight="1">
      <c r="B22" s="182">
        <f t="shared" si="7"/>
        <v>13</v>
      </c>
      <c r="C22" s="472"/>
      <c r="D22" s="504"/>
      <c r="E22" s="473"/>
      <c r="F22" s="475"/>
      <c r="G22" s="515"/>
      <c r="H22" s="497"/>
      <c r="I22" s="497"/>
      <c r="J22" s="462" t="str">
        <f>IF(C22&lt;&gt;"",(F22*'Hilfsblatt ML'!$Q$2)+AR22,"")</f>
        <v/>
      </c>
      <c r="K22" s="482"/>
      <c r="L22" s="470" t="str">
        <f>IF(K22="1 Tag&gt;6h",Tagegeld!$C$3,IF(K22="1 Tag&gt;8h",Tagegeld!$C$4,IF(K22="1 Tag&gt;12h",Tagegeld!$C$5,IF(K22="2 Tage je&gt;6h",Tagegeld!$C$6,IF(K22="2 Tage je&gt;8h",Tagegeld!$C$7,IF(K22="2 Tage je&gt;12h",Tagegeld!$C$8,IF(K22="2 Tage 1x&gt;8h &amp; 1x&gt;6h",Tagegeld!$C$9,IF(K22="2 Tage 1x&gt;12h &amp; 1x&gt;6h",Tagegeld!$C$10,IF(K22="2 Tage 1x&gt;12h &amp; 1x&gt;8h",Tagegeld!$C$11,IF(K22="3 Tage 1x&gt;12h &amp; 1x&gt;8h &amp; 1x&gt;6h",Tagegeld!$C$12,""))))))))))</f>
        <v/>
      </c>
      <c r="M22" s="483"/>
      <c r="N22" s="484"/>
      <c r="O22" s="488"/>
      <c r="P22" s="462" t="str">
        <f t="shared" si="0"/>
        <v/>
      </c>
      <c r="Q22" s="463" t="str">
        <f t="shared" si="1"/>
        <v/>
      </c>
      <c r="R22" s="478"/>
      <c r="S22" s="466" t="str">
        <f t="shared" ref="S22" si="33">IF(C22="","",IF(J22&lt;&gt;"",J22,0)+IF(L22&lt;&gt;"",L22,0)+IF(M22&lt;&gt;"",M22,0)+IF(N22&lt;&gt;"",N22,0)+IF(P22&lt;&gt;"",P22,0)+IF(Q22&lt;&gt;"",Q22))</f>
        <v/>
      </c>
      <c r="T22" s="480"/>
      <c r="U22" s="721"/>
      <c r="V22" s="722"/>
      <c r="W22" s="411"/>
      <c r="X22" s="411"/>
      <c r="Y22" s="411"/>
      <c r="Z22" s="411"/>
      <c r="AA22" s="412"/>
      <c r="AB22" s="412"/>
      <c r="AC22" s="412"/>
      <c r="AD22" s="411" t="str">
        <f t="shared" ref="AD22" si="34">IF(E22=$Z$10,"sonst",IF(E22=$Z$11,"sonst",IF(E22=$Z$12,"sonst",IF(E22=$Z$13,"sonst",IF(E22=$Z$14,"sonst",IF(E22=$Z$15,"sonst","BBV"))))))</f>
        <v>BBV</v>
      </c>
      <c r="AE22" s="411" t="str">
        <f t="shared" ref="AE22" si="35">AD22&amp;O22</f>
        <v>BBV</v>
      </c>
      <c r="AF22" s="411"/>
      <c r="AG22" s="411"/>
      <c r="AH22" s="412"/>
      <c r="AI22" s="412"/>
      <c r="AJ22" s="412"/>
      <c r="AK22" s="412" t="str">
        <f t="shared" ref="AK22" si="36">IF(P22=$Z$10,"sonst",IF(P22=$Z$11,"sonst","BBV"))</f>
        <v>BBV</v>
      </c>
      <c r="AL22" s="412" t="str">
        <f t="shared" ref="AL22" si="37">AK22&amp;O22</f>
        <v>BBV</v>
      </c>
      <c r="AM22" s="411"/>
      <c r="AN22" s="411"/>
      <c r="AO22" s="411"/>
      <c r="AP22" s="411"/>
      <c r="AQ22" s="411"/>
      <c r="AR22" s="411">
        <f>H22*I22*Tagessätze!$C$3</f>
        <v>0</v>
      </c>
      <c r="AS22" s="411"/>
      <c r="AT22" s="163"/>
      <c r="AU22" s="163"/>
      <c r="AV22" s="163"/>
      <c r="AW22" s="163"/>
      <c r="AX22" s="163"/>
      <c r="AY22" s="163"/>
      <c r="AZ22" s="163"/>
      <c r="BA22" s="164"/>
    </row>
    <row r="23" spans="2:53" ht="25.5" customHeight="1">
      <c r="B23" s="182">
        <f t="shared" si="7"/>
        <v>14</v>
      </c>
      <c r="C23" s="472"/>
      <c r="D23" s="504"/>
      <c r="E23" s="473"/>
      <c r="F23" s="475"/>
      <c r="G23" s="515"/>
      <c r="H23" s="497"/>
      <c r="I23" s="497"/>
      <c r="J23" s="462" t="str">
        <f>IF(C23&lt;&gt;"",(F23*'Hilfsblatt ML'!$Q$2)+AR23,"")</f>
        <v/>
      </c>
      <c r="K23" s="482"/>
      <c r="L23" s="470" t="str">
        <f>IF(K23="1 Tag&gt;6h",Tagegeld!$C$3,IF(K23="1 Tag&gt;8h",Tagegeld!$C$4,IF(K23="1 Tag&gt;12h",Tagegeld!$C$5,IF(K23="2 Tage je&gt;6h",Tagegeld!$C$6,IF(K23="2 Tage je&gt;8h",Tagegeld!$C$7,IF(K23="2 Tage je&gt;12h",Tagegeld!$C$8,IF(K23="2 Tage 1x&gt;8h &amp; 1x&gt;6h",Tagegeld!$C$9,IF(K23="2 Tage 1x&gt;12h &amp; 1x&gt;6h",Tagegeld!$C$10,IF(K23="2 Tage 1x&gt;12h &amp; 1x&gt;8h",Tagegeld!$C$11,IF(K23="3 Tage 1x&gt;12h &amp; 1x&gt;8h &amp; 1x&gt;6h",Tagegeld!$C$12,""))))))))))</f>
        <v/>
      </c>
      <c r="M23" s="483"/>
      <c r="N23" s="484"/>
      <c r="O23" s="488"/>
      <c r="P23" s="462" t="str">
        <f t="shared" si="0"/>
        <v/>
      </c>
      <c r="Q23" s="463" t="str">
        <f t="shared" si="1"/>
        <v/>
      </c>
      <c r="R23" s="478"/>
      <c r="S23" s="466" t="str">
        <f t="shared" ref="S23" si="38">IF(C23="","",IF(J23&lt;&gt;"",J23,0)+IF(L23&lt;&gt;"",L23,0)+IF(M23&lt;&gt;"",M23,0)+IF(N23&lt;&gt;"",N23,0)+IF(P23&lt;&gt;"",P23,0)+IF(Q23&lt;&gt;"",Q23))</f>
        <v/>
      </c>
      <c r="T23" s="480"/>
      <c r="U23" s="721"/>
      <c r="V23" s="722"/>
      <c r="W23" s="411"/>
      <c r="X23" s="411"/>
      <c r="Y23" s="411"/>
      <c r="Z23" s="411"/>
      <c r="AA23" s="412"/>
      <c r="AB23" s="412"/>
      <c r="AC23" s="412"/>
      <c r="AD23" s="411" t="str">
        <f t="shared" ref="AD23" si="39">IF(E23=$Z$10,"sonst",IF(E23=$Z$11,"sonst",IF(E23=$Z$12,"sonst",IF(E23=$Z$13,"sonst",IF(E23=$Z$14,"sonst",IF(E23=$Z$15,"sonst","BBV"))))))</f>
        <v>BBV</v>
      </c>
      <c r="AE23" s="411" t="str">
        <f t="shared" ref="AE23" si="40">AD23&amp;O23</f>
        <v>BBV</v>
      </c>
      <c r="AF23" s="411"/>
      <c r="AG23" s="411"/>
      <c r="AH23" s="412"/>
      <c r="AI23" s="412"/>
      <c r="AJ23" s="412"/>
      <c r="AK23" s="412" t="str">
        <f t="shared" ref="AK23" si="41">IF(P23=$Z$10,"sonst",IF(P23=$Z$11,"sonst","BBV"))</f>
        <v>BBV</v>
      </c>
      <c r="AL23" s="412" t="str">
        <f t="shared" ref="AL23" si="42">AK23&amp;O23</f>
        <v>BBV</v>
      </c>
      <c r="AM23" s="411"/>
      <c r="AN23" s="411"/>
      <c r="AO23" s="411"/>
      <c r="AP23" s="411"/>
      <c r="AQ23" s="411"/>
      <c r="AR23" s="411">
        <f>H23*I23*Tagessätze!$C$3</f>
        <v>0</v>
      </c>
      <c r="AS23" s="411"/>
      <c r="AT23" s="163"/>
      <c r="AU23" s="163"/>
      <c r="AV23" s="163"/>
      <c r="AW23" s="163"/>
      <c r="AX23" s="163"/>
      <c r="AY23" s="163"/>
      <c r="AZ23" s="163"/>
      <c r="BA23" s="164"/>
    </row>
    <row r="24" spans="2:53" ht="25.5" customHeight="1">
      <c r="B24" s="182">
        <f t="shared" si="7"/>
        <v>15</v>
      </c>
      <c r="C24" s="472"/>
      <c r="D24" s="504"/>
      <c r="E24" s="473"/>
      <c r="F24" s="475"/>
      <c r="G24" s="515"/>
      <c r="H24" s="497"/>
      <c r="I24" s="497"/>
      <c r="J24" s="462" t="str">
        <f>IF(C24&lt;&gt;"",(F24*'Hilfsblatt ML'!$Q$2)+AR24,"")</f>
        <v/>
      </c>
      <c r="K24" s="482"/>
      <c r="L24" s="470" t="str">
        <f>IF(K24="1 Tag&gt;6h",Tagegeld!$C$3,IF(K24="1 Tag&gt;8h",Tagegeld!$C$4,IF(K24="1 Tag&gt;12h",Tagegeld!$C$5,IF(K24="2 Tage je&gt;6h",Tagegeld!$C$6,IF(K24="2 Tage je&gt;8h",Tagegeld!$C$7,IF(K24="2 Tage je&gt;12h",Tagegeld!$C$8,IF(K24="2 Tage 1x&gt;8h &amp; 1x&gt;6h",Tagegeld!$C$9,IF(K24="2 Tage 1x&gt;12h &amp; 1x&gt;6h",Tagegeld!$C$10,IF(K24="2 Tage 1x&gt;12h &amp; 1x&gt;8h",Tagegeld!$C$11,IF(K24="3 Tage 1x&gt;12h &amp; 1x&gt;8h &amp; 1x&gt;6h",Tagegeld!$C$12,""))))))))))</f>
        <v/>
      </c>
      <c r="M24" s="483"/>
      <c r="N24" s="484"/>
      <c r="O24" s="488"/>
      <c r="P24" s="462" t="str">
        <f t="shared" si="0"/>
        <v/>
      </c>
      <c r="Q24" s="463" t="str">
        <f t="shared" si="1"/>
        <v/>
      </c>
      <c r="R24" s="478"/>
      <c r="S24" s="466" t="str">
        <f t="shared" ref="S24" si="43">IF(C24="","",IF(J24&lt;&gt;"",J24,0)+IF(L24&lt;&gt;"",L24,0)+IF(M24&lt;&gt;"",M24,0)+IF(N24&lt;&gt;"",N24,0)+IF(P24&lt;&gt;"",P24,0)+IF(Q24&lt;&gt;"",Q24))</f>
        <v/>
      </c>
      <c r="T24" s="480"/>
      <c r="U24" s="721"/>
      <c r="V24" s="722"/>
      <c r="W24" s="411"/>
      <c r="X24" s="411"/>
      <c r="Y24" s="411"/>
      <c r="Z24" s="411"/>
      <c r="AA24" s="412"/>
      <c r="AB24" s="412"/>
      <c r="AC24" s="412"/>
      <c r="AD24" s="411" t="str">
        <f t="shared" ref="AD24" si="44">IF(E24=$Z$10,"sonst",IF(E24=$Z$11,"sonst",IF(E24=$Z$12,"sonst",IF(E24=$Z$13,"sonst",IF(E24=$Z$14,"sonst",IF(E24=$Z$15,"sonst","BBV"))))))</f>
        <v>BBV</v>
      </c>
      <c r="AE24" s="411" t="str">
        <f t="shared" ref="AE24" si="45">AD24&amp;O24</f>
        <v>BBV</v>
      </c>
      <c r="AF24" s="411"/>
      <c r="AG24" s="411"/>
      <c r="AH24" s="412"/>
      <c r="AI24" s="412"/>
      <c r="AJ24" s="412"/>
      <c r="AK24" s="412" t="str">
        <f t="shared" ref="AK24" si="46">IF(P24=$Z$10,"sonst",IF(P24=$Z$11,"sonst","BBV"))</f>
        <v>BBV</v>
      </c>
      <c r="AL24" s="412" t="str">
        <f t="shared" ref="AL24" si="47">AK24&amp;O24</f>
        <v>BBV</v>
      </c>
      <c r="AM24" s="411"/>
      <c r="AN24" s="411"/>
      <c r="AO24" s="411"/>
      <c r="AP24" s="411"/>
      <c r="AQ24" s="411"/>
      <c r="AR24" s="411">
        <f>H24*I24*Tagessätze!$C$3</f>
        <v>0</v>
      </c>
      <c r="AS24" s="411"/>
      <c r="AT24" s="163"/>
      <c r="AU24" s="163"/>
      <c r="AV24" s="163"/>
      <c r="AW24" s="163"/>
      <c r="AX24" s="163"/>
      <c r="AY24" s="163"/>
      <c r="AZ24" s="163"/>
      <c r="BA24" s="164"/>
    </row>
    <row r="25" spans="2:53" ht="25.5" customHeight="1">
      <c r="B25" s="182">
        <f t="shared" si="7"/>
        <v>16</v>
      </c>
      <c r="C25" s="472"/>
      <c r="D25" s="504"/>
      <c r="E25" s="473"/>
      <c r="F25" s="475"/>
      <c r="G25" s="515"/>
      <c r="H25" s="497"/>
      <c r="I25" s="497"/>
      <c r="J25" s="462" t="str">
        <f>IF(C25&lt;&gt;"",(F25*'Hilfsblatt ML'!$Q$2)+AR25,"")</f>
        <v/>
      </c>
      <c r="K25" s="482"/>
      <c r="L25" s="470" t="str">
        <f>IF(K25="1 Tag&gt;6h",Tagegeld!$C$3,IF(K25="1 Tag&gt;8h",Tagegeld!$C$4,IF(K25="1 Tag&gt;12h",Tagegeld!$C$5,IF(K25="2 Tage je&gt;6h",Tagegeld!$C$6,IF(K25="2 Tage je&gt;8h",Tagegeld!$C$7,IF(K25="2 Tage je&gt;12h",Tagegeld!$C$8,IF(K25="2 Tage 1x&gt;8h &amp; 1x&gt;6h",Tagegeld!$C$9,IF(K25="2 Tage 1x&gt;12h &amp; 1x&gt;6h",Tagegeld!$C$10,IF(K25="2 Tage 1x&gt;12h &amp; 1x&gt;8h",Tagegeld!$C$11,IF(K25="3 Tage 1x&gt;12h &amp; 1x&gt;8h &amp; 1x&gt;6h",Tagegeld!$C$12,""))))))))))</f>
        <v/>
      </c>
      <c r="M25" s="483"/>
      <c r="N25" s="484"/>
      <c r="O25" s="488"/>
      <c r="P25" s="462" t="str">
        <f t="shared" si="0"/>
        <v/>
      </c>
      <c r="Q25" s="463" t="str">
        <f t="shared" si="1"/>
        <v/>
      </c>
      <c r="R25" s="478"/>
      <c r="S25" s="466" t="str">
        <f t="shared" ref="S25" si="48">IF(C25="","",IF(J25&lt;&gt;"",J25,0)+IF(L25&lt;&gt;"",L25,0)+IF(M25&lt;&gt;"",M25,0)+IF(N25&lt;&gt;"",N25,0)+IF(P25&lt;&gt;"",P25,0)+IF(Q25&lt;&gt;"",Q25))</f>
        <v/>
      </c>
      <c r="T25" s="480"/>
      <c r="U25" s="721"/>
      <c r="V25" s="722"/>
      <c r="W25" s="411"/>
      <c r="X25" s="411"/>
      <c r="Y25" s="411"/>
      <c r="Z25" s="411"/>
      <c r="AA25" s="412"/>
      <c r="AB25" s="412"/>
      <c r="AC25" s="412"/>
      <c r="AD25" s="411" t="str">
        <f t="shared" ref="AD25" si="49">IF(E25=$Z$10,"sonst",IF(E25=$Z$11,"sonst",IF(E25=$Z$12,"sonst",IF(E25=$Z$13,"sonst",IF(E25=$Z$14,"sonst",IF(E25=$Z$15,"sonst","BBV"))))))</f>
        <v>BBV</v>
      </c>
      <c r="AE25" s="411" t="str">
        <f t="shared" ref="AE25" si="50">AD25&amp;O25</f>
        <v>BBV</v>
      </c>
      <c r="AF25" s="411"/>
      <c r="AG25" s="411"/>
      <c r="AH25" s="412"/>
      <c r="AI25" s="412"/>
      <c r="AJ25" s="412"/>
      <c r="AK25" s="412" t="str">
        <f t="shared" ref="AK25" si="51">IF(P25=$Z$10,"sonst",IF(P25=$Z$11,"sonst","BBV"))</f>
        <v>BBV</v>
      </c>
      <c r="AL25" s="412" t="str">
        <f t="shared" ref="AL25" si="52">AK25&amp;O25</f>
        <v>BBV</v>
      </c>
      <c r="AM25" s="411"/>
      <c r="AN25" s="411"/>
      <c r="AO25" s="411"/>
      <c r="AP25" s="411"/>
      <c r="AQ25" s="411"/>
      <c r="AR25" s="411">
        <f>H25*I25*Tagessätze!$C$3</f>
        <v>0</v>
      </c>
      <c r="AS25" s="411"/>
      <c r="AT25" s="163"/>
      <c r="AU25" s="163"/>
      <c r="AV25" s="163"/>
      <c r="AW25" s="163"/>
      <c r="AX25" s="163"/>
      <c r="AY25" s="163"/>
      <c r="AZ25" s="163"/>
      <c r="BA25" s="164"/>
    </row>
    <row r="26" spans="2:53" ht="25.5" customHeight="1">
      <c r="B26" s="182">
        <f t="shared" si="7"/>
        <v>17</v>
      </c>
      <c r="C26" s="472"/>
      <c r="D26" s="504"/>
      <c r="E26" s="473"/>
      <c r="F26" s="475"/>
      <c r="G26" s="515"/>
      <c r="H26" s="497"/>
      <c r="I26" s="497"/>
      <c r="J26" s="462" t="str">
        <f>IF(C26&lt;&gt;"",(F26*'Hilfsblatt ML'!$Q$2)+AR26,"")</f>
        <v/>
      </c>
      <c r="K26" s="482"/>
      <c r="L26" s="470" t="str">
        <f>IF(K26="1 Tag&gt;6h",Tagegeld!$C$3,IF(K26="1 Tag&gt;8h",Tagegeld!$C$4,IF(K26="1 Tag&gt;12h",Tagegeld!$C$5,IF(K26="2 Tage je&gt;6h",Tagegeld!$C$6,IF(K26="2 Tage je&gt;8h",Tagegeld!$C$7,IF(K26="2 Tage je&gt;12h",Tagegeld!$C$8,IF(K26="2 Tage 1x&gt;8h &amp; 1x&gt;6h",Tagegeld!$C$9,IF(K26="2 Tage 1x&gt;12h &amp; 1x&gt;6h",Tagegeld!$C$10,IF(K26="2 Tage 1x&gt;12h &amp; 1x&gt;8h",Tagegeld!$C$11,IF(K26="3 Tage 1x&gt;12h &amp; 1x&gt;8h &amp; 1x&gt;6h",Tagegeld!$C$12,""))))))))))</f>
        <v/>
      </c>
      <c r="M26" s="483"/>
      <c r="N26" s="484"/>
      <c r="O26" s="488"/>
      <c r="P26" s="462" t="str">
        <f t="shared" si="0"/>
        <v/>
      </c>
      <c r="Q26" s="463" t="str">
        <f t="shared" si="1"/>
        <v/>
      </c>
      <c r="R26" s="478"/>
      <c r="S26" s="466" t="str">
        <f t="shared" ref="S26" si="53">IF(C26="","",IF(J26&lt;&gt;"",J26,0)+IF(L26&lt;&gt;"",L26,0)+IF(M26&lt;&gt;"",M26,0)+IF(N26&lt;&gt;"",N26,0)+IF(P26&lt;&gt;"",P26,0)+IF(Q26&lt;&gt;"",Q26))</f>
        <v/>
      </c>
      <c r="T26" s="480"/>
      <c r="U26" s="721"/>
      <c r="V26" s="722"/>
      <c r="W26" s="411"/>
      <c r="X26" s="411"/>
      <c r="Y26" s="411"/>
      <c r="Z26" s="411"/>
      <c r="AA26" s="412"/>
      <c r="AB26" s="412"/>
      <c r="AC26" s="412"/>
      <c r="AD26" s="411" t="str">
        <f t="shared" ref="AD26" si="54">IF(E26=$Z$10,"sonst",IF(E26=$Z$11,"sonst",IF(E26=$Z$12,"sonst",IF(E26=$Z$13,"sonst",IF(E26=$Z$14,"sonst",IF(E26=$Z$15,"sonst","BBV"))))))</f>
        <v>BBV</v>
      </c>
      <c r="AE26" s="411" t="str">
        <f t="shared" ref="AE26" si="55">AD26&amp;O26</f>
        <v>BBV</v>
      </c>
      <c r="AF26" s="411"/>
      <c r="AG26" s="411"/>
      <c r="AH26" s="412"/>
      <c r="AI26" s="412"/>
      <c r="AJ26" s="412"/>
      <c r="AK26" s="412" t="str">
        <f t="shared" ref="AK26" si="56">IF(P26=$Z$10,"sonst",IF(P26=$Z$11,"sonst","BBV"))</f>
        <v>BBV</v>
      </c>
      <c r="AL26" s="412" t="str">
        <f t="shared" ref="AL26" si="57">AK26&amp;O26</f>
        <v>BBV</v>
      </c>
      <c r="AM26" s="411"/>
      <c r="AN26" s="411"/>
      <c r="AO26" s="411"/>
      <c r="AP26" s="411"/>
      <c r="AQ26" s="411"/>
      <c r="AR26" s="411">
        <f>H26*I26*Tagessätze!$C$3</f>
        <v>0</v>
      </c>
      <c r="AS26" s="411"/>
      <c r="AT26" s="163"/>
      <c r="AU26" s="163"/>
      <c r="AV26" s="163"/>
      <c r="AW26" s="163"/>
      <c r="AX26" s="163"/>
      <c r="AY26" s="163"/>
      <c r="AZ26" s="163"/>
      <c r="BA26" s="164"/>
    </row>
    <row r="27" spans="2:53" ht="25.5" customHeight="1">
      <c r="B27" s="182">
        <f t="shared" si="7"/>
        <v>18</v>
      </c>
      <c r="C27" s="472"/>
      <c r="D27" s="504"/>
      <c r="E27" s="473"/>
      <c r="F27" s="475"/>
      <c r="G27" s="515"/>
      <c r="H27" s="497"/>
      <c r="I27" s="497"/>
      <c r="J27" s="462" t="str">
        <f>IF(C27&lt;&gt;"",(F27*'Hilfsblatt ML'!$Q$2)+AR27,"")</f>
        <v/>
      </c>
      <c r="K27" s="482"/>
      <c r="L27" s="470" t="str">
        <f>IF(K27="1 Tag&gt;6h",Tagegeld!$C$3,IF(K27="1 Tag&gt;8h",Tagegeld!$C$4,IF(K27="1 Tag&gt;12h",Tagegeld!$C$5,IF(K27="2 Tage je&gt;6h",Tagegeld!$C$6,IF(K27="2 Tage je&gt;8h",Tagegeld!$C$7,IF(K27="2 Tage je&gt;12h",Tagegeld!$C$8,IF(K27="2 Tage 1x&gt;8h &amp; 1x&gt;6h",Tagegeld!$C$9,IF(K27="2 Tage 1x&gt;12h &amp; 1x&gt;6h",Tagegeld!$C$10,IF(K27="2 Tage 1x&gt;12h &amp; 1x&gt;8h",Tagegeld!$C$11,IF(K27="3 Tage 1x&gt;12h &amp; 1x&gt;8h &amp; 1x&gt;6h",Tagegeld!$C$12,""))))))))))</f>
        <v/>
      </c>
      <c r="M27" s="483"/>
      <c r="N27" s="484"/>
      <c r="O27" s="488"/>
      <c r="P27" s="462" t="str">
        <f t="shared" si="0"/>
        <v/>
      </c>
      <c r="Q27" s="463" t="str">
        <f t="shared" si="1"/>
        <v/>
      </c>
      <c r="R27" s="478"/>
      <c r="S27" s="466" t="str">
        <f t="shared" ref="S27" si="58">IF(C27="","",IF(J27&lt;&gt;"",J27,0)+IF(L27&lt;&gt;"",L27,0)+IF(M27&lt;&gt;"",M27,0)+IF(N27&lt;&gt;"",N27,0)+IF(P27&lt;&gt;"",P27,0)+IF(Q27&lt;&gt;"",Q27))</f>
        <v/>
      </c>
      <c r="T27" s="480"/>
      <c r="U27" s="721"/>
      <c r="V27" s="722"/>
      <c r="W27" s="411"/>
      <c r="X27" s="411"/>
      <c r="Y27" s="411"/>
      <c r="Z27" s="411"/>
      <c r="AA27" s="412"/>
      <c r="AB27" s="412"/>
      <c r="AC27" s="412"/>
      <c r="AD27" s="411" t="str">
        <f t="shared" ref="AD27" si="59">IF(E27=$Z$10,"sonst",IF(E27=$Z$11,"sonst",IF(E27=$Z$12,"sonst",IF(E27=$Z$13,"sonst",IF(E27=$Z$14,"sonst",IF(E27=$Z$15,"sonst","BBV"))))))</f>
        <v>BBV</v>
      </c>
      <c r="AE27" s="411" t="str">
        <f t="shared" ref="AE27" si="60">AD27&amp;O27</f>
        <v>BBV</v>
      </c>
      <c r="AF27" s="411"/>
      <c r="AG27" s="411"/>
      <c r="AH27" s="412"/>
      <c r="AI27" s="412"/>
      <c r="AJ27" s="412"/>
      <c r="AK27" s="412" t="str">
        <f t="shared" ref="AK27" si="61">IF(P27=$Z$10,"sonst",IF(P27=$Z$11,"sonst","BBV"))</f>
        <v>BBV</v>
      </c>
      <c r="AL27" s="412" t="str">
        <f t="shared" ref="AL27" si="62">AK27&amp;O27</f>
        <v>BBV</v>
      </c>
      <c r="AM27" s="411"/>
      <c r="AN27" s="411"/>
      <c r="AO27" s="411"/>
      <c r="AP27" s="411"/>
      <c r="AQ27" s="411"/>
      <c r="AR27" s="411">
        <f>H27*I27*Tagessätze!$C$3</f>
        <v>0</v>
      </c>
      <c r="AS27" s="411"/>
      <c r="AT27" s="163"/>
      <c r="AU27" s="163"/>
      <c r="AV27" s="163"/>
      <c r="AW27" s="163"/>
      <c r="AX27" s="163"/>
      <c r="AY27" s="163"/>
      <c r="AZ27" s="163"/>
      <c r="BA27" s="164"/>
    </row>
    <row r="28" spans="2:53" ht="25.5" customHeight="1">
      <c r="B28" s="182">
        <f t="shared" si="7"/>
        <v>19</v>
      </c>
      <c r="C28" s="472"/>
      <c r="D28" s="504"/>
      <c r="E28" s="473"/>
      <c r="F28" s="475"/>
      <c r="G28" s="515"/>
      <c r="H28" s="497"/>
      <c r="I28" s="497"/>
      <c r="J28" s="462" t="str">
        <f>IF(C28&lt;&gt;"",(F28*'Hilfsblatt ML'!$Q$2)+AR28,"")</f>
        <v/>
      </c>
      <c r="K28" s="482"/>
      <c r="L28" s="470" t="str">
        <f>IF(K28="1 Tag&gt;6h",Tagegeld!$C$3,IF(K28="1 Tag&gt;8h",Tagegeld!$C$4,IF(K28="1 Tag&gt;12h",Tagegeld!$C$5,IF(K28="2 Tage je&gt;6h",Tagegeld!$C$6,IF(K28="2 Tage je&gt;8h",Tagegeld!$C$7,IF(K28="2 Tage je&gt;12h",Tagegeld!$C$8,IF(K28="2 Tage 1x&gt;8h &amp; 1x&gt;6h",Tagegeld!$C$9,IF(K28="2 Tage 1x&gt;12h &amp; 1x&gt;6h",Tagegeld!$C$10,IF(K28="2 Tage 1x&gt;12h &amp; 1x&gt;8h",Tagegeld!$C$11,IF(K28="3 Tage 1x&gt;12h &amp; 1x&gt;8h &amp; 1x&gt;6h",Tagegeld!$C$12,""))))))))))</f>
        <v/>
      </c>
      <c r="M28" s="483"/>
      <c r="N28" s="484"/>
      <c r="O28" s="488"/>
      <c r="P28" s="462" t="str">
        <f t="shared" si="0"/>
        <v/>
      </c>
      <c r="Q28" s="463" t="str">
        <f t="shared" si="1"/>
        <v/>
      </c>
      <c r="R28" s="478"/>
      <c r="S28" s="466" t="str">
        <f t="shared" ref="S28" si="63">IF(C28="","",IF(J28&lt;&gt;"",J28,0)+IF(L28&lt;&gt;"",L28,0)+IF(M28&lt;&gt;"",M28,0)+IF(N28&lt;&gt;"",N28,0)+IF(P28&lt;&gt;"",P28,0)+IF(Q28&lt;&gt;"",Q28))</f>
        <v/>
      </c>
      <c r="T28" s="480"/>
      <c r="U28" s="721"/>
      <c r="V28" s="722"/>
      <c r="W28" s="411"/>
      <c r="X28" s="411"/>
      <c r="Y28" s="411"/>
      <c r="Z28" s="411"/>
      <c r="AA28" s="412"/>
      <c r="AB28" s="412"/>
      <c r="AC28" s="412"/>
      <c r="AD28" s="411" t="str">
        <f t="shared" ref="AD28" si="64">IF(E28=$Z$10,"sonst",IF(E28=$Z$11,"sonst",IF(E28=$Z$12,"sonst",IF(E28=$Z$13,"sonst",IF(E28=$Z$14,"sonst",IF(E28=$Z$15,"sonst","BBV"))))))</f>
        <v>BBV</v>
      </c>
      <c r="AE28" s="411" t="str">
        <f t="shared" ref="AE28" si="65">AD28&amp;O28</f>
        <v>BBV</v>
      </c>
      <c r="AF28" s="411"/>
      <c r="AG28" s="411"/>
      <c r="AH28" s="412"/>
      <c r="AI28" s="412"/>
      <c r="AJ28" s="412"/>
      <c r="AK28" s="412" t="str">
        <f t="shared" ref="AK28" si="66">IF(P28=$Z$10,"sonst",IF(P28=$Z$11,"sonst","BBV"))</f>
        <v>BBV</v>
      </c>
      <c r="AL28" s="412" t="str">
        <f t="shared" ref="AL28" si="67">AK28&amp;O28</f>
        <v>BBV</v>
      </c>
      <c r="AM28" s="411"/>
      <c r="AN28" s="411"/>
      <c r="AO28" s="411"/>
      <c r="AP28" s="411"/>
      <c r="AQ28" s="411"/>
      <c r="AR28" s="411">
        <f>H28*I28*Tagessätze!$C$3</f>
        <v>0</v>
      </c>
      <c r="AS28" s="411"/>
      <c r="AT28" s="163"/>
      <c r="AU28" s="163"/>
      <c r="AV28" s="163"/>
      <c r="AW28" s="163"/>
      <c r="AX28" s="163"/>
      <c r="AY28" s="163"/>
      <c r="AZ28" s="163"/>
      <c r="BA28" s="164"/>
    </row>
    <row r="29" spans="2:53" ht="25.5" customHeight="1">
      <c r="B29" s="182">
        <f t="shared" si="7"/>
        <v>20</v>
      </c>
      <c r="C29" s="472"/>
      <c r="D29" s="504"/>
      <c r="E29" s="473"/>
      <c r="F29" s="475"/>
      <c r="G29" s="515"/>
      <c r="H29" s="497"/>
      <c r="I29" s="497"/>
      <c r="J29" s="462" t="str">
        <f>IF(C29&lt;&gt;"",(F29*'Hilfsblatt ML'!$Q$2)+AR29,"")</f>
        <v/>
      </c>
      <c r="K29" s="482"/>
      <c r="L29" s="470" t="str">
        <f>IF(K29="1 Tag&gt;6h",Tagegeld!$C$3,IF(K29="1 Tag&gt;8h",Tagegeld!$C$4,IF(K29="1 Tag&gt;12h",Tagegeld!$C$5,IF(K29="2 Tage je&gt;6h",Tagegeld!$C$6,IF(K29="2 Tage je&gt;8h",Tagegeld!$C$7,IF(K29="2 Tage je&gt;12h",Tagegeld!$C$8,IF(K29="2 Tage 1x&gt;8h &amp; 1x&gt;6h",Tagegeld!$C$9,IF(K29="2 Tage 1x&gt;12h &amp; 1x&gt;6h",Tagegeld!$C$10,IF(K29="2 Tage 1x&gt;12h &amp; 1x&gt;8h",Tagegeld!$C$11,IF(K29="3 Tage 1x&gt;12h &amp; 1x&gt;8h &amp; 1x&gt;6h",Tagegeld!$C$12,""))))))))))</f>
        <v/>
      </c>
      <c r="M29" s="483"/>
      <c r="N29" s="484"/>
      <c r="O29" s="488"/>
      <c r="P29" s="462" t="str">
        <f t="shared" si="0"/>
        <v/>
      </c>
      <c r="Q29" s="463" t="str">
        <f t="shared" si="1"/>
        <v/>
      </c>
      <c r="R29" s="478"/>
      <c r="S29" s="466" t="str">
        <f t="shared" si="2"/>
        <v/>
      </c>
      <c r="T29" s="480"/>
      <c r="U29" s="721"/>
      <c r="V29" s="722"/>
      <c r="W29" s="411"/>
      <c r="X29" s="411"/>
      <c r="Y29" s="411"/>
      <c r="Z29" s="411" t="s">
        <v>258</v>
      </c>
      <c r="AA29" s="412" t="s">
        <v>63</v>
      </c>
      <c r="AB29" s="412" t="str">
        <f>AA29&amp;Z29</f>
        <v>BBVnein</v>
      </c>
      <c r="AC29" s="431">
        <v>0</v>
      </c>
      <c r="AD29" s="411" t="str">
        <f t="shared" si="3"/>
        <v>BBV</v>
      </c>
      <c r="AE29" s="411" t="str">
        <f t="shared" si="5"/>
        <v>BBV</v>
      </c>
      <c r="AF29" s="411"/>
      <c r="AG29" s="411" t="s">
        <v>258</v>
      </c>
      <c r="AH29" s="412" t="s">
        <v>63</v>
      </c>
      <c r="AI29" s="412" t="str">
        <f>AH29&amp;AG29</f>
        <v>BBVnein</v>
      </c>
      <c r="AJ29" s="431">
        <v>0</v>
      </c>
      <c r="AK29" s="412" t="str">
        <f t="shared" si="4"/>
        <v>BBV</v>
      </c>
      <c r="AL29" s="412" t="str">
        <f t="shared" si="6"/>
        <v>BBV</v>
      </c>
      <c r="AM29" s="411"/>
      <c r="AN29" s="411"/>
      <c r="AO29" s="411"/>
      <c r="AP29" s="411"/>
      <c r="AQ29" s="411"/>
      <c r="AR29" s="411">
        <f>H29*I29*Tagessätze!$C$3</f>
        <v>0</v>
      </c>
      <c r="AS29" s="411"/>
      <c r="AT29" s="163"/>
      <c r="AU29" s="163"/>
      <c r="AV29" s="163"/>
      <c r="AW29" s="163"/>
      <c r="AX29" s="163"/>
      <c r="AY29" s="163"/>
      <c r="AZ29" s="163"/>
      <c r="BA29" s="164"/>
    </row>
    <row r="30" spans="2:53" ht="25.5" customHeight="1">
      <c r="B30" s="182">
        <f t="shared" si="7"/>
        <v>21</v>
      </c>
      <c r="C30" s="472"/>
      <c r="D30" s="504"/>
      <c r="E30" s="473"/>
      <c r="F30" s="475"/>
      <c r="G30" s="515"/>
      <c r="H30" s="497"/>
      <c r="I30" s="497"/>
      <c r="J30" s="462" t="str">
        <f>IF(C30&lt;&gt;"",(F30*'Hilfsblatt ML'!$Q$2)+AR30,"")</f>
        <v/>
      </c>
      <c r="K30" s="482"/>
      <c r="L30" s="470" t="str">
        <f>IF(K30="1 Tag&gt;6h",Tagegeld!$C$3,IF(K30="1 Tag&gt;8h",Tagegeld!$C$4,IF(K30="1 Tag&gt;12h",Tagegeld!$C$5,IF(K30="2 Tage je&gt;6h",Tagegeld!$C$6,IF(K30="2 Tage je&gt;8h",Tagegeld!$C$7,IF(K30="2 Tage je&gt;12h",Tagegeld!$C$8,IF(K30="2 Tage 1x&gt;8h &amp; 1x&gt;6h",Tagegeld!$C$9,IF(K30="2 Tage 1x&gt;12h &amp; 1x&gt;6h",Tagegeld!$C$10,IF(K30="2 Tage 1x&gt;12h &amp; 1x&gt;8h",Tagegeld!$C$11,IF(K30="3 Tage 1x&gt;12h &amp; 1x&gt;8h &amp; 1x&gt;6h",Tagegeld!$C$12,""))))))))))</f>
        <v/>
      </c>
      <c r="M30" s="483"/>
      <c r="N30" s="484"/>
      <c r="O30" s="488"/>
      <c r="P30" s="462" t="str">
        <f t="shared" si="0"/>
        <v/>
      </c>
      <c r="Q30" s="463" t="str">
        <f t="shared" si="1"/>
        <v/>
      </c>
      <c r="R30" s="478"/>
      <c r="S30" s="466" t="str">
        <f t="shared" si="2"/>
        <v/>
      </c>
      <c r="T30" s="480"/>
      <c r="U30" s="721"/>
      <c r="V30" s="722"/>
      <c r="W30" s="411"/>
      <c r="X30" s="411"/>
      <c r="Y30" s="411"/>
      <c r="Z30" s="411" t="s">
        <v>369</v>
      </c>
      <c r="AA30" s="412" t="s">
        <v>63</v>
      </c>
      <c r="AB30" s="412" t="str">
        <f t="shared" ref="AB30:AB34" si="68">AA30&amp;Z30</f>
        <v>BBVSR 1 Tag</v>
      </c>
      <c r="AC30" s="431">
        <v>0</v>
      </c>
      <c r="AD30" s="411" t="str">
        <f t="shared" si="3"/>
        <v>BBV</v>
      </c>
      <c r="AE30" s="411" t="str">
        <f t="shared" si="5"/>
        <v>BBV</v>
      </c>
      <c r="AF30" s="411"/>
      <c r="AG30" s="411" t="s">
        <v>369</v>
      </c>
      <c r="AH30" s="412" t="s">
        <v>63</v>
      </c>
      <c r="AI30" s="412" t="str">
        <f t="shared" ref="AI30:AI35" si="69">AH30&amp;AG30</f>
        <v>BBVSR 1 Tag</v>
      </c>
      <c r="AJ30" s="431">
        <v>25</v>
      </c>
      <c r="AK30" s="412" t="str">
        <f t="shared" si="4"/>
        <v>BBV</v>
      </c>
      <c r="AL30" s="412" t="str">
        <f t="shared" si="6"/>
        <v>BBV</v>
      </c>
      <c r="AM30" s="411"/>
      <c r="AN30" s="411"/>
      <c r="AO30" s="411"/>
      <c r="AP30" s="411"/>
      <c r="AQ30" s="411"/>
      <c r="AR30" s="411">
        <f>H30*I30*Tagessätze!$C$3</f>
        <v>0</v>
      </c>
      <c r="AS30" s="411"/>
      <c r="AT30" s="163"/>
      <c r="AU30" s="163"/>
      <c r="AV30" s="163"/>
      <c r="AW30" s="163"/>
      <c r="AX30" s="163"/>
      <c r="AY30" s="163"/>
      <c r="AZ30" s="163"/>
      <c r="BA30" s="164"/>
    </row>
    <row r="31" spans="2:53" ht="25.5" customHeight="1">
      <c r="B31" s="182">
        <f t="shared" si="7"/>
        <v>22</v>
      </c>
      <c r="C31" s="472"/>
      <c r="D31" s="504"/>
      <c r="E31" s="473"/>
      <c r="F31" s="475"/>
      <c r="G31" s="515"/>
      <c r="H31" s="497"/>
      <c r="I31" s="497"/>
      <c r="J31" s="462" t="str">
        <f>IF(C31&lt;&gt;"",(F31*'Hilfsblatt ML'!$Q$2)+AR31,"")</f>
        <v/>
      </c>
      <c r="K31" s="482"/>
      <c r="L31" s="470" t="str">
        <f>IF(K31="1 Tag&gt;6h",Tagegeld!$C$3,IF(K31="1 Tag&gt;8h",Tagegeld!$C$4,IF(K31="1 Tag&gt;12h",Tagegeld!$C$5,IF(K31="2 Tage je&gt;6h",Tagegeld!$C$6,IF(K31="2 Tage je&gt;8h",Tagegeld!$C$7,IF(K31="2 Tage je&gt;12h",Tagegeld!$C$8,IF(K31="2 Tage 1x&gt;8h &amp; 1x&gt;6h",Tagegeld!$C$9,IF(K31="2 Tage 1x&gt;12h &amp; 1x&gt;6h",Tagegeld!$C$10,IF(K31="2 Tage 1x&gt;12h &amp; 1x&gt;8h",Tagegeld!$C$11,IF(K31="3 Tage 1x&gt;12h &amp; 1x&gt;8h &amp; 1x&gt;6h",Tagegeld!$C$12,""))))))))))</f>
        <v/>
      </c>
      <c r="M31" s="483"/>
      <c r="N31" s="484"/>
      <c r="O31" s="488"/>
      <c r="P31" s="462" t="str">
        <f t="shared" si="0"/>
        <v/>
      </c>
      <c r="Q31" s="463" t="str">
        <f t="shared" si="1"/>
        <v/>
      </c>
      <c r="R31" s="478"/>
      <c r="S31" s="466" t="str">
        <f t="shared" si="2"/>
        <v/>
      </c>
      <c r="T31" s="480"/>
      <c r="U31" s="721"/>
      <c r="V31" s="722"/>
      <c r="W31" s="411"/>
      <c r="X31" s="411"/>
      <c r="Y31" s="411"/>
      <c r="Z31" s="411" t="s">
        <v>370</v>
      </c>
      <c r="AA31" s="412" t="s">
        <v>63</v>
      </c>
      <c r="AB31" s="412" t="str">
        <f t="shared" si="68"/>
        <v>BBVSR 2 Tage</v>
      </c>
      <c r="AC31" s="431">
        <v>0</v>
      </c>
      <c r="AD31" s="411" t="str">
        <f t="shared" si="3"/>
        <v>BBV</v>
      </c>
      <c r="AE31" s="411" t="str">
        <f t="shared" si="5"/>
        <v>BBV</v>
      </c>
      <c r="AF31" s="411"/>
      <c r="AG31" s="411" t="s">
        <v>370</v>
      </c>
      <c r="AH31" s="412" t="s">
        <v>63</v>
      </c>
      <c r="AI31" s="412" t="str">
        <f t="shared" si="69"/>
        <v>BBVSR 2 Tage</v>
      </c>
      <c r="AJ31" s="431">
        <v>50</v>
      </c>
      <c r="AK31" s="412" t="str">
        <f t="shared" si="4"/>
        <v>BBV</v>
      </c>
      <c r="AL31" s="412" t="str">
        <f t="shared" si="6"/>
        <v>BBV</v>
      </c>
      <c r="AM31" s="411"/>
      <c r="AN31" s="411"/>
      <c r="AO31" s="411"/>
      <c r="AP31" s="411"/>
      <c r="AQ31" s="411"/>
      <c r="AR31" s="411">
        <f>H31*I31*Tagessätze!$C$3</f>
        <v>0</v>
      </c>
      <c r="AS31" s="411"/>
      <c r="AT31" s="163"/>
      <c r="AU31" s="163"/>
      <c r="AV31" s="163"/>
      <c r="AW31" s="163"/>
      <c r="AX31" s="163"/>
      <c r="AY31" s="163"/>
      <c r="AZ31" s="163"/>
      <c r="BA31" s="164"/>
    </row>
    <row r="32" spans="2:53" ht="25.5" customHeight="1">
      <c r="B32" s="182">
        <f t="shared" si="7"/>
        <v>23</v>
      </c>
      <c r="C32" s="472"/>
      <c r="D32" s="504"/>
      <c r="E32" s="473"/>
      <c r="F32" s="475"/>
      <c r="G32" s="515"/>
      <c r="H32" s="497"/>
      <c r="I32" s="497"/>
      <c r="J32" s="462" t="str">
        <f>IF(C32&lt;&gt;"",(F32*'Hilfsblatt ML'!$Q$2)+AR32,"")</f>
        <v/>
      </c>
      <c r="K32" s="482"/>
      <c r="L32" s="470" t="str">
        <f>IF(K32="1 Tag&gt;6h",Tagegeld!$C$3,IF(K32="1 Tag&gt;8h",Tagegeld!$C$4,IF(K32="1 Tag&gt;12h",Tagegeld!$C$5,IF(K32="2 Tage je&gt;6h",Tagegeld!$C$6,IF(K32="2 Tage je&gt;8h",Tagegeld!$C$7,IF(K32="2 Tage je&gt;12h",Tagegeld!$C$8,IF(K32="2 Tage 1x&gt;8h &amp; 1x&gt;6h",Tagegeld!$C$9,IF(K32="2 Tage 1x&gt;12h &amp; 1x&gt;6h",Tagegeld!$C$10,IF(K32="2 Tage 1x&gt;12h &amp; 1x&gt;8h",Tagegeld!$C$11,IF(K32="3 Tage 1x&gt;12h &amp; 1x&gt;8h &amp; 1x&gt;6h",Tagegeld!$C$12,""))))))))))</f>
        <v/>
      </c>
      <c r="M32" s="483"/>
      <c r="N32" s="484"/>
      <c r="O32" s="488"/>
      <c r="P32" s="462" t="str">
        <f t="shared" si="0"/>
        <v/>
      </c>
      <c r="Q32" s="463" t="str">
        <f t="shared" si="1"/>
        <v/>
      </c>
      <c r="R32" s="478"/>
      <c r="S32" s="466" t="str">
        <f t="shared" si="2"/>
        <v/>
      </c>
      <c r="T32" s="480"/>
      <c r="U32" s="721"/>
      <c r="V32" s="722"/>
      <c r="W32" s="411"/>
      <c r="X32" s="411"/>
      <c r="Y32" s="411"/>
      <c r="Z32" s="411"/>
      <c r="AA32" s="412"/>
      <c r="AB32" s="412" t="str">
        <f t="shared" si="68"/>
        <v/>
      </c>
      <c r="AC32" s="412"/>
      <c r="AD32" s="411" t="str">
        <f t="shared" si="3"/>
        <v>BBV</v>
      </c>
      <c r="AE32" s="411" t="str">
        <f t="shared" si="5"/>
        <v>BBV</v>
      </c>
      <c r="AF32" s="411"/>
      <c r="AG32" s="411" t="s">
        <v>371</v>
      </c>
      <c r="AH32" s="412" t="s">
        <v>63</v>
      </c>
      <c r="AI32" s="412" t="str">
        <f t="shared" si="69"/>
        <v>BBVReferee 1 Tag</v>
      </c>
      <c r="AJ32" s="431">
        <v>125</v>
      </c>
      <c r="AK32" s="412" t="str">
        <f t="shared" si="4"/>
        <v>BBV</v>
      </c>
      <c r="AL32" s="412" t="str">
        <f t="shared" si="6"/>
        <v>BBV</v>
      </c>
      <c r="AM32" s="411"/>
      <c r="AN32" s="411"/>
      <c r="AO32" s="411"/>
      <c r="AP32" s="411"/>
      <c r="AQ32" s="411"/>
      <c r="AR32" s="411">
        <f>H32*I32*Tagessätze!$C$3</f>
        <v>0</v>
      </c>
      <c r="AS32" s="411"/>
      <c r="AT32" s="163"/>
      <c r="AU32" s="163"/>
      <c r="AV32" s="163"/>
      <c r="AW32" s="163"/>
      <c r="AX32" s="163"/>
      <c r="AY32" s="163"/>
      <c r="AZ32" s="163"/>
      <c r="BA32" s="164"/>
    </row>
    <row r="33" spans="2:55" ht="25.5" customHeight="1">
      <c r="B33" s="182">
        <f t="shared" si="7"/>
        <v>24</v>
      </c>
      <c r="C33" s="472"/>
      <c r="D33" s="504"/>
      <c r="E33" s="473"/>
      <c r="F33" s="475"/>
      <c r="G33" s="515"/>
      <c r="H33" s="497"/>
      <c r="I33" s="497"/>
      <c r="J33" s="462" t="str">
        <f>IF(C33&lt;&gt;"",(F33*'Hilfsblatt ML'!$Q$2)+AR33,"")</f>
        <v/>
      </c>
      <c r="K33" s="482"/>
      <c r="L33" s="470" t="str">
        <f>IF(K33="1 Tag&gt;6h",Tagegeld!$C$3,IF(K33="1 Tag&gt;8h",Tagegeld!$C$4,IF(K33="1 Tag&gt;12h",Tagegeld!$C$5,IF(K33="2 Tage je&gt;6h",Tagegeld!$C$6,IF(K33="2 Tage je&gt;8h",Tagegeld!$C$7,IF(K33="2 Tage je&gt;12h",Tagegeld!$C$8,IF(K33="2 Tage 1x&gt;8h &amp; 1x&gt;6h",Tagegeld!$C$9,IF(K33="2 Tage 1x&gt;12h &amp; 1x&gt;6h",Tagegeld!$C$10,IF(K33="2 Tage 1x&gt;12h &amp; 1x&gt;8h",Tagegeld!$C$11,IF(K33="3 Tage 1x&gt;12h &amp; 1x&gt;8h &amp; 1x&gt;6h",Tagegeld!$C$12,""))))))))))</f>
        <v/>
      </c>
      <c r="M33" s="483"/>
      <c r="N33" s="484"/>
      <c r="O33" s="488"/>
      <c r="P33" s="462" t="str">
        <f t="shared" si="0"/>
        <v/>
      </c>
      <c r="Q33" s="463" t="str">
        <f t="shared" si="1"/>
        <v/>
      </c>
      <c r="R33" s="478"/>
      <c r="S33" s="466" t="str">
        <f t="shared" si="2"/>
        <v/>
      </c>
      <c r="T33" s="480"/>
      <c r="U33" s="721"/>
      <c r="V33" s="722"/>
      <c r="W33" s="411"/>
      <c r="X33" s="411"/>
      <c r="Y33" s="411"/>
      <c r="Z33" s="411" t="s">
        <v>258</v>
      </c>
      <c r="AA33" s="412" t="s">
        <v>336</v>
      </c>
      <c r="AB33" s="412" t="str">
        <f t="shared" si="68"/>
        <v>sonstnein</v>
      </c>
      <c r="AC33" s="431">
        <v>0</v>
      </c>
      <c r="AD33" s="411" t="str">
        <f t="shared" si="3"/>
        <v>BBV</v>
      </c>
      <c r="AE33" s="411" t="str">
        <f t="shared" si="5"/>
        <v>BBV</v>
      </c>
      <c r="AF33" s="411"/>
      <c r="AG33" s="411" t="s">
        <v>372</v>
      </c>
      <c r="AH33" s="412" t="s">
        <v>63</v>
      </c>
      <c r="AI33" s="412" t="str">
        <f t="shared" si="69"/>
        <v>BBVReferee 2 Tage</v>
      </c>
      <c r="AJ33" s="431">
        <v>250</v>
      </c>
      <c r="AK33" s="412" t="str">
        <f t="shared" si="4"/>
        <v>BBV</v>
      </c>
      <c r="AL33" s="412" t="str">
        <f t="shared" si="6"/>
        <v>BBV</v>
      </c>
      <c r="AM33" s="411"/>
      <c r="AN33" s="411"/>
      <c r="AO33" s="411"/>
      <c r="AP33" s="411"/>
      <c r="AQ33" s="411"/>
      <c r="AR33" s="411">
        <f>H33*I33*Tagessätze!$C$3</f>
        <v>0</v>
      </c>
      <c r="AS33" s="411"/>
      <c r="AT33" s="163"/>
      <c r="AU33" s="163"/>
      <c r="AV33" s="163"/>
      <c r="AW33" s="163"/>
      <c r="AX33" s="163"/>
      <c r="AY33" s="163"/>
      <c r="AZ33" s="163"/>
      <c r="BA33" s="164"/>
    </row>
    <row r="34" spans="2:55" ht="25.5" customHeight="1" thickBot="1">
      <c r="B34" s="407">
        <f t="shared" si="7"/>
        <v>25</v>
      </c>
      <c r="C34" s="476"/>
      <c r="D34" s="505"/>
      <c r="E34" s="502"/>
      <c r="F34" s="477"/>
      <c r="G34" s="516"/>
      <c r="H34" s="495"/>
      <c r="I34" s="498"/>
      <c r="J34" s="462" t="str">
        <f>IF(C34&lt;&gt;"",(F34*'Hilfsblatt ML'!$Q$2)+AR34,"")</f>
        <v/>
      </c>
      <c r="K34" s="482"/>
      <c r="L34" s="470" t="str">
        <f>IF(K34="1 Tag&gt;6h",Tagegeld!$C$3,IF(K34="1 Tag&gt;8h",Tagegeld!$C$4,IF(K34="1 Tag&gt;12h",Tagegeld!$C$5,IF(K34="2 Tage je&gt;6h",Tagegeld!$C$6,IF(K34="2 Tage je&gt;8h",Tagegeld!$C$7,IF(K34="2 Tage je&gt;12h",Tagegeld!$C$8,IF(K34="2 Tage 1x&gt;8h &amp; 1x&gt;6h",Tagegeld!$C$9,IF(K34="2 Tage 1x&gt;12h &amp; 1x&gt;6h",Tagegeld!$C$10,IF(K34="2 Tage 1x&gt;12h &amp; 1x&gt;8h",Tagegeld!$C$11,IF(K34="3 Tage 1x&gt;12h &amp; 1x&gt;8h &amp; 1x&gt;6h",Tagegeld!$C$12,""))))))))))</f>
        <v/>
      </c>
      <c r="M34" s="485"/>
      <c r="N34" s="485"/>
      <c r="O34" s="489"/>
      <c r="P34" s="462" t="str">
        <f t="shared" si="0"/>
        <v/>
      </c>
      <c r="Q34" s="463" t="str">
        <f t="shared" si="1"/>
        <v/>
      </c>
      <c r="R34" s="478"/>
      <c r="S34" s="507" t="str">
        <f t="shared" si="2"/>
        <v/>
      </c>
      <c r="T34" s="481"/>
      <c r="U34" s="749"/>
      <c r="V34" s="750"/>
      <c r="W34" s="411"/>
      <c r="X34" s="411"/>
      <c r="Y34" s="411"/>
      <c r="Z34" s="411" t="s">
        <v>369</v>
      </c>
      <c r="AA34" s="412" t="s">
        <v>336</v>
      </c>
      <c r="AB34" s="412" t="str">
        <f t="shared" si="68"/>
        <v>sonstSR 1 Tag</v>
      </c>
      <c r="AC34" s="431">
        <v>10</v>
      </c>
      <c r="AD34" s="411" t="str">
        <f t="shared" si="3"/>
        <v>BBV</v>
      </c>
      <c r="AE34" s="411" t="str">
        <f t="shared" si="5"/>
        <v>BBV</v>
      </c>
      <c r="AF34" s="411"/>
      <c r="AG34" s="411" t="s">
        <v>367</v>
      </c>
      <c r="AH34" s="412" t="s">
        <v>63</v>
      </c>
      <c r="AI34" s="412" t="str">
        <f t="shared" si="69"/>
        <v>BBVReferee Assistenz 1 Tag</v>
      </c>
      <c r="AJ34" s="431">
        <v>100</v>
      </c>
      <c r="AK34" s="412" t="str">
        <f t="shared" si="4"/>
        <v>BBV</v>
      </c>
      <c r="AL34" s="412" t="str">
        <f t="shared" si="6"/>
        <v>BBV</v>
      </c>
      <c r="AM34" s="411"/>
      <c r="AN34" s="411"/>
      <c r="AO34" s="411"/>
      <c r="AP34" s="411"/>
      <c r="AQ34" s="411"/>
      <c r="AR34" s="411">
        <f>H34*I34*Tagessätze!$C$3</f>
        <v>0</v>
      </c>
      <c r="AS34" s="411"/>
      <c r="AT34" s="163"/>
      <c r="AU34" s="163"/>
      <c r="AV34" s="163"/>
      <c r="AW34" s="163"/>
      <c r="AX34" s="163"/>
      <c r="AY34" s="163"/>
      <c r="AZ34" s="163"/>
      <c r="BA34" s="163"/>
    </row>
    <row r="35" spans="2:55" ht="17.25" thickBot="1">
      <c r="B35" s="163"/>
      <c r="C35" s="163"/>
      <c r="D35" s="163"/>
      <c r="E35" s="163"/>
      <c r="F35" s="183"/>
      <c r="G35" s="183"/>
      <c r="H35" s="384"/>
      <c r="I35" s="385"/>
      <c r="J35" s="385"/>
      <c r="K35" s="509"/>
      <c r="L35" s="509"/>
      <c r="M35" s="510"/>
      <c r="N35" s="511"/>
      <c r="O35" s="461"/>
      <c r="P35" s="460" t="s">
        <v>340</v>
      </c>
      <c r="Q35" s="508">
        <f>IF(COUNT(P10:Q34)&gt;0,SUM(P10:Q34),T35)</f>
        <v>0</v>
      </c>
      <c r="R35" s="459" t="s">
        <v>341</v>
      </c>
      <c r="S35" s="461">
        <f>IF(COUNT(S10:S34)&gt;0,SUM(S10:S34)-Q35,T35)</f>
        <v>0</v>
      </c>
      <c r="T35" s="458">
        <v>0</v>
      </c>
      <c r="U35" s="163"/>
      <c r="V35" s="163"/>
      <c r="W35" s="163"/>
      <c r="X35" s="163"/>
      <c r="Y35" s="163"/>
      <c r="Z35" s="163" t="s">
        <v>370</v>
      </c>
      <c r="AA35" s="226" t="s">
        <v>336</v>
      </c>
      <c r="AB35" s="226" t="str">
        <f>AA35&amp;Z35</f>
        <v>sonstSR 2 Tage</v>
      </c>
      <c r="AC35" s="487">
        <v>20</v>
      </c>
      <c r="AD35" s="163"/>
      <c r="AE35" s="163"/>
      <c r="AF35" s="163"/>
      <c r="AG35" s="163" t="s">
        <v>368</v>
      </c>
      <c r="AH35" s="226" t="s">
        <v>63</v>
      </c>
      <c r="AI35" s="226" t="str">
        <f t="shared" si="69"/>
        <v>BBVReferee Assistenz 2 Tage</v>
      </c>
      <c r="AJ35" s="487">
        <v>200</v>
      </c>
      <c r="AK35" s="226"/>
      <c r="AL35" s="226"/>
      <c r="AM35" s="163"/>
      <c r="AN35" s="163"/>
      <c r="AO35" s="411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</row>
    <row r="36" spans="2:55" ht="29.25" customHeight="1">
      <c r="B36" s="163"/>
      <c r="C36" s="190" t="s">
        <v>438</v>
      </c>
      <c r="D36" s="163"/>
      <c r="E36" s="163"/>
      <c r="F36" s="226"/>
      <c r="G36" s="226"/>
      <c r="I36" s="536" t="s">
        <v>436</v>
      </c>
      <c r="J36" s="537">
        <f>IF(COUNT(J10:J34)&gt;0,SUM(J10:J34),T35)+M36+N36</f>
        <v>0</v>
      </c>
      <c r="K36" s="536" t="s">
        <v>28</v>
      </c>
      <c r="L36" s="537">
        <f>IF(COUNT(L10:L34)&gt;0,SUM(L10:L34),T35)</f>
        <v>0</v>
      </c>
      <c r="M36" s="535">
        <f>IF(COUNT(M10:M34)&gt;0,SUM(M10:M34),T35)</f>
        <v>0</v>
      </c>
      <c r="N36" s="535">
        <f>IF(COUNT(N10:N34)&gt;0,SUM(N10:N34),T35)</f>
        <v>0</v>
      </c>
      <c r="O36" s="536" t="s">
        <v>437</v>
      </c>
      <c r="P36" s="537">
        <f>IF(COUNT(P10:P34)&gt;0,SUM(P10:P34),T35)</f>
        <v>0</v>
      </c>
      <c r="Q36" s="534"/>
      <c r="R36" s="533"/>
      <c r="S36" s="534"/>
      <c r="T36" s="458"/>
      <c r="U36" s="163"/>
      <c r="V36" s="163"/>
      <c r="W36" s="163"/>
      <c r="X36" s="163"/>
      <c r="Y36" s="163"/>
      <c r="Z36" s="163"/>
      <c r="AA36" s="226"/>
      <c r="AB36" s="226"/>
      <c r="AC36" s="487"/>
      <c r="AD36" s="163"/>
      <c r="AE36" s="163"/>
      <c r="AF36" s="163"/>
      <c r="AG36" s="163"/>
      <c r="AH36" s="226"/>
      <c r="AI36" s="226"/>
      <c r="AJ36" s="487"/>
      <c r="AK36" s="226"/>
      <c r="AL36" s="226"/>
      <c r="AM36" s="163"/>
      <c r="AN36" s="163"/>
      <c r="AO36" s="411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  <c r="BB36" s="163"/>
    </row>
    <row r="37" spans="2:55" ht="18.75" customHeight="1">
      <c r="B37" s="754" t="s">
        <v>407</v>
      </c>
      <c r="C37" s="754"/>
      <c r="D37" s="754"/>
      <c r="E37" s="754"/>
      <c r="F37" s="754"/>
      <c r="G37" s="754"/>
      <c r="I37" s="536"/>
      <c r="J37" s="537"/>
      <c r="K37" s="536"/>
      <c r="L37" s="537"/>
      <c r="M37" s="535"/>
      <c r="N37" s="535"/>
      <c r="O37" s="536" t="s">
        <v>439</v>
      </c>
      <c r="P37" s="537">
        <f>SUMIF(E10:E34,"OBB",Q10:Q34)</f>
        <v>0</v>
      </c>
      <c r="Q37" s="536" t="s">
        <v>441</v>
      </c>
      <c r="R37" s="537">
        <f>SUMIF(E10:E34,"NBO",Q10:Q34)</f>
        <v>0</v>
      </c>
      <c r="S37" s="536" t="s">
        <v>443</v>
      </c>
      <c r="T37" s="537">
        <f>SUMIF(E10:E34,"UFR",Q10:Q34)</f>
        <v>0</v>
      </c>
      <c r="U37" s="163"/>
      <c r="V37" s="163"/>
      <c r="W37" s="226"/>
      <c r="X37" s="226"/>
      <c r="Y37" s="226"/>
      <c r="Z37" s="163"/>
      <c r="AA37" s="163"/>
      <c r="AB37" s="163"/>
      <c r="AC37" s="163"/>
      <c r="AD37" s="226"/>
      <c r="AE37" s="163"/>
      <c r="AF37" s="226"/>
      <c r="AG37" s="226"/>
      <c r="AH37" s="226"/>
      <c r="AI37" s="163"/>
      <c r="AJ37" s="163"/>
      <c r="AK37" s="163"/>
      <c r="AL37" s="163"/>
      <c r="AM37" s="411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</row>
    <row r="38" spans="2:55" ht="23.25" customHeight="1">
      <c r="B38" s="748"/>
      <c r="C38" s="748"/>
      <c r="D38" s="748"/>
      <c r="E38" s="748"/>
      <c r="F38" s="748"/>
      <c r="G38" s="748"/>
      <c r="H38" s="500"/>
      <c r="I38" s="500"/>
      <c r="J38" s="163"/>
      <c r="K38" s="163"/>
      <c r="L38" s="395"/>
      <c r="M38" s="395"/>
      <c r="N38" s="538"/>
      <c r="O38" s="536" t="s">
        <v>440</v>
      </c>
      <c r="P38" s="537">
        <f>SUMIF(E10:E34,"MFR",Q10:Q34)</f>
        <v>0</v>
      </c>
      <c r="Q38" s="536" t="s">
        <v>442</v>
      </c>
      <c r="R38" s="537">
        <f>SUMIF(E10:E34,"SWN",Q10:Q34)</f>
        <v>0</v>
      </c>
      <c r="S38" s="536" t="s">
        <v>444</v>
      </c>
      <c r="T38" s="537">
        <f>SUMIF(E10:E34,"OFR",Q10:Q34)</f>
        <v>0</v>
      </c>
      <c r="U38" s="163"/>
      <c r="V38" s="163"/>
      <c r="W38" s="226"/>
      <c r="X38" s="226"/>
      <c r="Y38" s="226"/>
      <c r="Z38" s="163"/>
      <c r="AA38" s="163"/>
      <c r="AB38" s="163"/>
      <c r="AC38" s="163"/>
      <c r="AD38" s="163"/>
      <c r="AE38" s="163"/>
      <c r="AF38" s="226"/>
      <c r="AG38" s="163" t="s">
        <v>258</v>
      </c>
      <c r="AH38" s="226" t="s">
        <v>336</v>
      </c>
      <c r="AI38" s="226" t="str">
        <f>AH38&amp;AG38</f>
        <v>sonstnein</v>
      </c>
      <c r="AJ38" s="487">
        <v>0</v>
      </c>
      <c r="AK38" s="163"/>
      <c r="AL38" s="163"/>
      <c r="AM38" s="163"/>
      <c r="AN38" s="163"/>
      <c r="AO38" s="411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</row>
    <row r="39" spans="2:55" ht="14.25">
      <c r="B39" s="748"/>
      <c r="C39" s="748"/>
      <c r="D39" s="748"/>
      <c r="E39" s="748"/>
      <c r="F39" s="748"/>
      <c r="G39" s="748"/>
      <c r="H39" s="500"/>
      <c r="I39" s="500"/>
      <c r="J39" s="163"/>
      <c r="K39" s="163"/>
      <c r="L39" s="395"/>
      <c r="M39" s="395"/>
      <c r="N39" s="538"/>
      <c r="O39" s="538"/>
      <c r="P39" s="537"/>
      <c r="Q39" s="536"/>
      <c r="R39" s="537"/>
      <c r="S39" s="536"/>
      <c r="T39" s="537"/>
      <c r="U39" s="163"/>
      <c r="V39" s="163"/>
      <c r="W39" s="457"/>
      <c r="X39" s="457"/>
      <c r="Y39" s="457"/>
      <c r="Z39" s="190"/>
      <c r="AA39" s="190"/>
      <c r="AB39" s="190"/>
      <c r="AC39" s="190"/>
      <c r="AD39" s="190"/>
      <c r="AE39" s="190"/>
      <c r="AF39" s="457"/>
      <c r="AG39" s="163" t="s">
        <v>369</v>
      </c>
      <c r="AH39" s="226" t="s">
        <v>336</v>
      </c>
      <c r="AI39" s="226" t="str">
        <f t="shared" ref="AI39:AI40" si="70">AH39&amp;AG39</f>
        <v>sonstSR 1 Tag</v>
      </c>
      <c r="AJ39" s="487">
        <v>25</v>
      </c>
      <c r="AK39" s="190"/>
      <c r="AL39" s="190"/>
      <c r="AM39" s="190"/>
      <c r="AN39" s="190"/>
      <c r="AO39" s="440"/>
      <c r="AP39" s="190"/>
      <c r="AQ39" s="190"/>
      <c r="AR39" s="190"/>
      <c r="AS39" s="190"/>
      <c r="AT39" s="190"/>
      <c r="AU39" s="190"/>
      <c r="AV39" s="190"/>
      <c r="AW39" s="190"/>
      <c r="AX39" s="190"/>
      <c r="AY39" s="163"/>
      <c r="AZ39" s="163"/>
    </row>
    <row r="40" spans="2:55" ht="14.25">
      <c r="B40" s="748"/>
      <c r="C40" s="748"/>
      <c r="D40" s="748"/>
      <c r="E40" s="748"/>
      <c r="F40" s="748"/>
      <c r="G40" s="748"/>
      <c r="H40" s="500"/>
      <c r="I40" s="500"/>
      <c r="J40" s="163"/>
      <c r="K40" s="163"/>
      <c r="L40" s="395"/>
      <c r="M40" s="395"/>
      <c r="N40" s="538"/>
      <c r="O40" s="538"/>
      <c r="P40" s="537"/>
      <c r="Q40" s="536"/>
      <c r="R40" s="537"/>
      <c r="S40" s="536"/>
      <c r="T40" s="537"/>
      <c r="U40" s="163"/>
      <c r="V40" s="163"/>
      <c r="W40" s="465"/>
      <c r="X40" s="465"/>
      <c r="Y40" s="465"/>
      <c r="Z40" s="296"/>
      <c r="AA40" s="296"/>
      <c r="AB40" s="296"/>
      <c r="AC40" s="296"/>
      <c r="AD40" s="296"/>
      <c r="AE40" s="296"/>
      <c r="AF40" s="465"/>
      <c r="AG40" s="163" t="s">
        <v>370</v>
      </c>
      <c r="AH40" s="226" t="s">
        <v>336</v>
      </c>
      <c r="AI40" s="226" t="str">
        <f t="shared" si="70"/>
        <v>sonstSR 2 Tage</v>
      </c>
      <c r="AJ40" s="487">
        <v>50</v>
      </c>
      <c r="AK40" s="296"/>
      <c r="AL40" s="296"/>
      <c r="AM40" s="296"/>
      <c r="AN40" s="296"/>
      <c r="AO40" s="491"/>
      <c r="AP40" s="296"/>
      <c r="AQ40" s="296"/>
      <c r="AR40" s="296"/>
      <c r="AS40" s="296"/>
      <c r="AT40" s="296"/>
      <c r="AU40" s="396"/>
      <c r="AV40" s="396"/>
      <c r="AW40" s="396"/>
      <c r="AX40" s="396"/>
      <c r="AY40" s="190"/>
      <c r="AZ40" s="185"/>
      <c r="BA40" s="185"/>
      <c r="BB40" s="185"/>
      <c r="BC40" s="185"/>
    </row>
    <row r="41" spans="2:55" ht="14.25">
      <c r="B41" s="748"/>
      <c r="C41" s="748"/>
      <c r="D41" s="748"/>
      <c r="E41" s="748"/>
      <c r="F41" s="748"/>
      <c r="G41" s="748"/>
      <c r="H41" s="297"/>
      <c r="I41" s="430"/>
      <c r="J41" s="184"/>
      <c r="K41" s="184"/>
      <c r="L41" s="184"/>
      <c r="M41" s="184"/>
      <c r="N41" s="163"/>
      <c r="O41" s="163"/>
      <c r="P41" s="163"/>
      <c r="Q41" s="163"/>
      <c r="R41" s="163"/>
      <c r="S41" s="512"/>
      <c r="T41" s="411"/>
      <c r="U41" s="163"/>
      <c r="V41" s="163"/>
      <c r="W41" s="171"/>
      <c r="X41" s="171"/>
      <c r="Y41" s="171"/>
      <c r="Z41" s="186"/>
      <c r="AA41" s="186"/>
      <c r="AB41" s="186"/>
      <c r="AC41" s="186"/>
      <c r="AD41" s="171"/>
      <c r="AE41" s="226"/>
      <c r="AF41" s="226"/>
      <c r="AG41" s="226"/>
      <c r="AH41" s="226"/>
      <c r="AI41" s="186"/>
      <c r="AJ41" s="186"/>
      <c r="AK41" s="186"/>
      <c r="AL41" s="186"/>
      <c r="AM41" s="492"/>
      <c r="AN41" s="186"/>
      <c r="AO41" s="186"/>
      <c r="AP41" s="186"/>
      <c r="AQ41" s="186"/>
      <c r="AR41" s="186"/>
      <c r="AS41" s="186"/>
      <c r="AT41" s="186"/>
      <c r="AU41" s="186"/>
      <c r="AV41" s="186"/>
      <c r="AW41" s="186"/>
      <c r="AX41" s="186"/>
    </row>
    <row r="42" spans="2:55" ht="21" customHeight="1">
      <c r="B42" s="747" t="s">
        <v>403</v>
      </c>
      <c r="C42" s="747"/>
      <c r="D42" s="747"/>
      <c r="E42" s="747"/>
      <c r="F42" s="747"/>
      <c r="G42" s="747"/>
      <c r="H42" s="751" t="s">
        <v>342</v>
      </c>
      <c r="I42" s="751"/>
      <c r="J42" s="751"/>
      <c r="K42" s="751"/>
      <c r="L42" s="751"/>
      <c r="M42" s="751"/>
      <c r="N42" s="296"/>
      <c r="O42" s="752" t="str" cm="1">
        <f t="array" ref="O42">IF(OR(E10:E34="OBB",E10:E34="MFR",E10:E34="NBO",E10:E34="SWN",E10:E34="OFR",E10:E45="UFR"),"Digitale Signatur Budgetverantwortung Bezirk*e","")</f>
        <v/>
      </c>
      <c r="P42" s="752"/>
      <c r="Q42" s="752"/>
      <c r="R42" s="752"/>
      <c r="S42" s="752"/>
      <c r="T42" s="440"/>
      <c r="U42" s="190"/>
      <c r="V42" s="190"/>
      <c r="W42" s="171"/>
      <c r="X42" s="171"/>
      <c r="Y42" s="171"/>
      <c r="Z42" s="186"/>
      <c r="AA42" s="186"/>
      <c r="AB42" s="186"/>
      <c r="AC42" s="186"/>
      <c r="AD42" s="171"/>
      <c r="AE42" s="457"/>
      <c r="AF42" s="457"/>
      <c r="AG42" s="457"/>
      <c r="AH42" s="457"/>
      <c r="AI42" s="186"/>
      <c r="AJ42" s="186"/>
      <c r="AK42" s="186"/>
      <c r="AL42" s="186"/>
      <c r="AM42" s="492"/>
      <c r="AN42" s="186"/>
      <c r="AO42" s="186"/>
      <c r="AP42" s="186"/>
      <c r="AQ42" s="186"/>
      <c r="AR42" s="186"/>
      <c r="AS42" s="186"/>
      <c r="AT42" s="186"/>
      <c r="AU42" s="186"/>
      <c r="AV42" s="186"/>
      <c r="AW42" s="186"/>
      <c r="AX42" s="186"/>
    </row>
    <row r="43" spans="2:55" ht="14.25" hidden="1">
      <c r="B43" s="186"/>
      <c r="C43" s="186"/>
      <c r="D43" s="186"/>
      <c r="E43" s="186"/>
      <c r="F43" s="186"/>
      <c r="G43" s="186"/>
      <c r="H43" s="753" t="s">
        <v>260</v>
      </c>
      <c r="I43" s="753"/>
      <c r="J43" s="753"/>
      <c r="K43" s="753"/>
      <c r="L43" s="753"/>
      <c r="M43" s="753"/>
      <c r="N43" s="753"/>
      <c r="O43" s="753"/>
      <c r="P43" s="753"/>
      <c r="Q43" s="753"/>
      <c r="R43" s="753"/>
      <c r="S43" s="753"/>
      <c r="T43" s="296"/>
      <c r="U43" s="296"/>
      <c r="V43" s="296"/>
      <c r="W43" s="171"/>
      <c r="X43" s="171"/>
      <c r="Y43" s="171"/>
      <c r="Z43" s="186"/>
      <c r="AA43" s="186"/>
      <c r="AB43" s="186"/>
      <c r="AC43" s="186"/>
      <c r="AD43" s="171"/>
      <c r="AE43" s="465"/>
      <c r="AF43" s="465"/>
      <c r="AG43" s="465"/>
      <c r="AH43" s="465"/>
      <c r="AI43" s="186"/>
      <c r="AJ43" s="186"/>
      <c r="AK43" s="186"/>
      <c r="AL43" s="186"/>
      <c r="AM43" s="492"/>
      <c r="AN43" s="186"/>
      <c r="AO43" s="186"/>
      <c r="AP43" s="186"/>
      <c r="AQ43" s="186"/>
      <c r="AR43" s="186"/>
      <c r="AS43" s="186"/>
      <c r="AT43" s="186"/>
      <c r="AU43" s="186"/>
      <c r="AV43" s="186"/>
      <c r="AW43" s="186"/>
      <c r="AX43" s="186"/>
    </row>
    <row r="44" spans="2:55" ht="14.25">
      <c r="H44" s="429"/>
      <c r="I44" s="429"/>
      <c r="J44" s="186"/>
      <c r="K44" s="186"/>
      <c r="L44" s="186"/>
      <c r="M44" s="186"/>
      <c r="N44" s="186"/>
      <c r="O44" s="186"/>
      <c r="P44" s="186"/>
      <c r="Q44" s="186"/>
      <c r="S44" s="186"/>
      <c r="T44" s="428"/>
      <c r="U44" s="428"/>
      <c r="V44" s="428" t="s">
        <v>252</v>
      </c>
      <c r="AE44" s="171"/>
      <c r="AF44" s="171"/>
      <c r="AG44" s="171"/>
      <c r="AH44" s="171"/>
      <c r="AM44" s="192"/>
    </row>
    <row r="45" spans="2:55" ht="15" customHeight="1">
      <c r="H45" s="299"/>
      <c r="I45" s="299"/>
      <c r="J45" s="186"/>
      <c r="K45" s="186"/>
      <c r="L45" s="186"/>
      <c r="M45" s="186"/>
      <c r="N45" s="186"/>
      <c r="O45" s="186"/>
      <c r="P45" s="186"/>
      <c r="Q45" s="186"/>
      <c r="S45" s="186"/>
      <c r="T45" s="428"/>
      <c r="U45" s="428"/>
      <c r="V45" s="428" t="s">
        <v>396</v>
      </c>
      <c r="AE45" s="171"/>
      <c r="AF45" s="171"/>
      <c r="AG45" s="171"/>
      <c r="AH45" s="171"/>
      <c r="AM45" s="192"/>
    </row>
    <row r="46" spans="2:55" ht="0" hidden="1" customHeight="1"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  <c r="AE46" s="171"/>
      <c r="AF46" s="171"/>
      <c r="AG46" s="171"/>
      <c r="AH46" s="171"/>
    </row>
    <row r="47" spans="2:55" ht="0" hidden="1" customHeight="1">
      <c r="V47" s="359" t="s">
        <v>400</v>
      </c>
      <c r="AE47" s="171"/>
      <c r="AF47" s="171"/>
      <c r="AG47" s="171"/>
      <c r="AH47" s="171"/>
    </row>
    <row r="48" spans="2:55" ht="0" hidden="1" customHeight="1">
      <c r="V48" s="359" t="s">
        <v>399</v>
      </c>
    </row>
  </sheetData>
  <sheetProtection selectLockedCells="1"/>
  <mergeCells count="44">
    <mergeCell ref="U31:V31"/>
    <mergeCell ref="H43:S43"/>
    <mergeCell ref="B37:G37"/>
    <mergeCell ref="U25:V25"/>
    <mergeCell ref="U24:V24"/>
    <mergeCell ref="B42:G42"/>
    <mergeCell ref="B38:G41"/>
    <mergeCell ref="U34:V34"/>
    <mergeCell ref="U32:V32"/>
    <mergeCell ref="U33:V33"/>
    <mergeCell ref="H42:M42"/>
    <mergeCell ref="O42:S42"/>
    <mergeCell ref="U29:V29"/>
    <mergeCell ref="U30:V30"/>
    <mergeCell ref="D1:P1"/>
    <mergeCell ref="Q3:R3"/>
    <mergeCell ref="U10:V10"/>
    <mergeCell ref="B3:E3"/>
    <mergeCell ref="U8:V8"/>
    <mergeCell ref="I4:N4"/>
    <mergeCell ref="K8:L8"/>
    <mergeCell ref="F8:J8"/>
    <mergeCell ref="T3:V3"/>
    <mergeCell ref="Q4:V4"/>
    <mergeCell ref="F3:N3"/>
    <mergeCell ref="B4:C4"/>
    <mergeCell ref="D4:G4"/>
    <mergeCell ref="B6:V6"/>
    <mergeCell ref="U11:V11"/>
    <mergeCell ref="U12:V12"/>
    <mergeCell ref="U13:V13"/>
    <mergeCell ref="U28:V28"/>
    <mergeCell ref="U27:V27"/>
    <mergeCell ref="U26:V26"/>
    <mergeCell ref="U14:V14"/>
    <mergeCell ref="U15:V15"/>
    <mergeCell ref="U16:V16"/>
    <mergeCell ref="U17:V17"/>
    <mergeCell ref="U20:V20"/>
    <mergeCell ref="U19:V19"/>
    <mergeCell ref="U18:V18"/>
    <mergeCell ref="U23:V23"/>
    <mergeCell ref="U22:V22"/>
    <mergeCell ref="U21:V21"/>
  </mergeCells>
  <phoneticPr fontId="7" type="noConversion"/>
  <dataValidations count="6">
    <dataValidation type="whole" allowBlank="1" showDropDown="1" showInputMessage="1" showErrorMessage="1" sqref="P10:Q34" xr:uid="{9803BCE0-4F14-47B0-8014-20B4A525C28B}">
      <formula1>0</formula1>
      <formula2>100</formula2>
    </dataValidation>
    <dataValidation type="list" allowBlank="1" showInputMessage="1" showErrorMessage="1" sqref="E10:E34" xr:uid="{028000F6-2A7F-4E19-9418-ADF7E021FF78}">
      <formula1>"OBB, MFR, NBO, UFR, OFR, SWN, BBV"</formula1>
    </dataValidation>
    <dataValidation type="list" allowBlank="1" showInputMessage="1" showErrorMessage="1" sqref="O10:O34" xr:uid="{5A4953DC-6339-43ED-BA16-B366A9B26E64}">
      <formula1>"nein, SR 1 Tag, SR 2 Tage, Referee 1 Tag, Referee 2 Tage, Referee Assistenz 1 Tag, Referee Assistenz 2 Tage"</formula1>
    </dataValidation>
    <dataValidation type="list" allowBlank="1" showInputMessage="1" showErrorMessage="1" sqref="G10:G34" xr:uid="{B0C9EDEE-8455-4A3E-8409-4B441AA5F1C4}">
      <formula1>"TN1, TN2, TN3, TN4, TN5, TN6, TN7, TN8, TN9, TN10, TN11, TN12, TN13, TN14, TN15, TN16, TN17, TN18, TN19, TN20, TN21, TN22, TN 23, TN24, TN25"</formula1>
    </dataValidation>
    <dataValidation type="list" allowBlank="1" showInputMessage="1" showErrorMessage="1" sqref="K10:K34" xr:uid="{93F51CEF-7786-4182-BFFD-4C60A05A7747}">
      <formula1>"1 Tag&gt;6h, 1 Tag&gt;8h, 1 Tag&gt;12h, 2 Tage je&gt;6h, 2 Tage je&gt;8h, 2 Tage je&gt;12h, 2 Tage 1x&gt;8h &amp; 1x&gt;6h, 2 Tage 1x&gt;12h &amp; 1x&gt;6h, 2 Tage 1x&gt;12h &amp; 1x&gt;8h, 3 Tage 1x&gt;12h &amp; 1x&gt;8h &amp; 1x&gt;6h"</formula1>
    </dataValidation>
    <dataValidation type="list" allowBlank="1" showInputMessage="1" showErrorMessage="1" sqref="R10:R34" xr:uid="{692DCA7F-23B9-46C6-9A36-A99668C3DA16}">
      <formula1>"Ja,nein"</formula1>
    </dataValidation>
  </dataValidations>
  <printOptions horizontalCentered="1" verticalCentered="1"/>
  <pageMargins left="0" right="0" top="0" bottom="0" header="0" footer="0"/>
  <pageSetup paperSize="9" scale="59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2000000}">
          <x14:formula1>
            <xm:f>Tagessätze!$A$3:$A$9</xm:f>
          </x14:formula1>
          <xm:sqref>Q3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7073C-C9AF-4E9D-A3FC-33547B939B6B}">
  <sheetPr>
    <tabColor rgb="FF009FE3"/>
  </sheetPr>
  <dimension ref="A1:E33"/>
  <sheetViews>
    <sheetView showGridLines="0" zoomScaleNormal="100" workbookViewId="0">
      <selection activeCell="E17" sqref="E17"/>
    </sheetView>
  </sheetViews>
  <sheetFormatPr baseColWidth="10" defaultRowHeight="12.75"/>
  <cols>
    <col min="1" max="3" width="10" style="523" customWidth="1"/>
    <col min="4" max="4" width="21.28515625" style="523" customWidth="1"/>
    <col min="5" max="5" width="68.7109375" style="523" customWidth="1"/>
    <col min="6" max="16384" width="11.42578125" style="523"/>
  </cols>
  <sheetData>
    <row r="1" spans="1:5" ht="20.25">
      <c r="A1" s="773" t="s">
        <v>102</v>
      </c>
      <c r="B1" s="773"/>
      <c r="C1" s="773"/>
      <c r="D1" s="773"/>
      <c r="E1" s="773"/>
    </row>
    <row r="2" spans="1:5" ht="20.25">
      <c r="A2" s="773" t="s">
        <v>416</v>
      </c>
      <c r="B2" s="773"/>
      <c r="C2" s="773"/>
      <c r="D2" s="773"/>
      <c r="E2" s="773"/>
    </row>
    <row r="3" spans="1:5" ht="20.25">
      <c r="A3" s="773" t="s">
        <v>417</v>
      </c>
      <c r="B3" s="773"/>
      <c r="C3" s="773"/>
      <c r="D3" s="773"/>
      <c r="E3" s="773"/>
    </row>
    <row r="4" spans="1:5">
      <c r="A4" s="524"/>
      <c r="B4" s="524"/>
      <c r="C4" s="524"/>
      <c r="D4" s="524"/>
    </row>
    <row r="5" spans="1:5">
      <c r="A5" s="524"/>
      <c r="B5" s="524"/>
      <c r="C5" s="524"/>
      <c r="D5" s="524"/>
    </row>
    <row r="6" spans="1:5" ht="27.75" customHeight="1">
      <c r="A6" s="768" t="s">
        <v>418</v>
      </c>
      <c r="B6" s="769"/>
      <c r="C6" s="770"/>
      <c r="D6" s="771"/>
      <c r="E6" s="772"/>
    </row>
    <row r="7" spans="1:5" ht="27.75" customHeight="1">
      <c r="A7" s="768" t="s">
        <v>419</v>
      </c>
      <c r="B7" s="769"/>
      <c r="C7" s="770"/>
      <c r="D7" s="771"/>
      <c r="E7" s="772"/>
    </row>
    <row r="8" spans="1:5" ht="27.75" customHeight="1">
      <c r="A8" s="768" t="s">
        <v>420</v>
      </c>
      <c r="B8" s="769"/>
      <c r="C8" s="770"/>
      <c r="D8" s="771"/>
      <c r="E8" s="772"/>
    </row>
    <row r="9" spans="1:5" ht="27.75" customHeight="1">
      <c r="A9" s="768" t="s">
        <v>421</v>
      </c>
      <c r="B9" s="769"/>
      <c r="C9" s="770"/>
      <c r="D9" s="771"/>
      <c r="E9" s="772"/>
    </row>
    <row r="10" spans="1:5" ht="27.75" customHeight="1">
      <c r="A10" s="768" t="s">
        <v>422</v>
      </c>
      <c r="B10" s="769"/>
      <c r="C10" s="770"/>
      <c r="D10" s="771"/>
      <c r="E10" s="772"/>
    </row>
    <row r="11" spans="1:5" ht="27.75" customHeight="1">
      <c r="A11" s="768" t="s">
        <v>423</v>
      </c>
      <c r="B11" s="769"/>
      <c r="C11" s="770"/>
      <c r="D11" s="771"/>
      <c r="E11" s="772"/>
    </row>
    <row r="12" spans="1:5" ht="14.25">
      <c r="A12" s="525"/>
      <c r="B12" s="525"/>
      <c r="C12" s="525"/>
      <c r="D12" s="525"/>
    </row>
    <row r="13" spans="1:5" ht="14.25">
      <c r="A13" s="525"/>
      <c r="B13" s="525"/>
      <c r="C13" s="525"/>
      <c r="D13" s="525"/>
    </row>
    <row r="14" spans="1:5" ht="31.5" customHeight="1">
      <c r="A14" s="757" t="s">
        <v>424</v>
      </c>
      <c r="B14" s="757"/>
      <c r="C14" s="757"/>
      <c r="D14" s="757"/>
      <c r="E14" s="757"/>
    </row>
    <row r="15" spans="1:5" ht="19.5" customHeight="1">
      <c r="A15" s="757" t="s">
        <v>425</v>
      </c>
      <c r="B15" s="757"/>
      <c r="C15" s="757"/>
      <c r="D15" s="757"/>
      <c r="E15" s="532" t="s">
        <v>19</v>
      </c>
    </row>
    <row r="16" spans="1:5" ht="31.5" customHeight="1">
      <c r="A16" s="756" t="s">
        <v>426</v>
      </c>
      <c r="B16" s="756"/>
      <c r="C16" s="756"/>
      <c r="D16" s="756"/>
      <c r="E16" s="756"/>
    </row>
    <row r="17" spans="1:5" ht="17.25" customHeight="1">
      <c r="B17" s="526"/>
      <c r="C17" s="526"/>
      <c r="D17" s="527" t="s">
        <v>427</v>
      </c>
      <c r="E17" s="528">
        <v>2025</v>
      </c>
    </row>
    <row r="18" spans="1:5" ht="31.5" customHeight="1">
      <c r="A18" s="757" t="s">
        <v>428</v>
      </c>
      <c r="B18" s="757"/>
      <c r="C18" s="757"/>
      <c r="D18" s="757"/>
      <c r="E18" s="529"/>
    </row>
    <row r="19" spans="1:5" ht="22.5" customHeight="1">
      <c r="A19" s="756" t="s">
        <v>429</v>
      </c>
      <c r="B19" s="756"/>
      <c r="C19" s="756"/>
      <c r="D19" s="756"/>
      <c r="E19" s="756"/>
    </row>
    <row r="20" spans="1:5" ht="15.75" customHeight="1">
      <c r="A20" s="526"/>
      <c r="B20" s="526"/>
      <c r="C20" s="526"/>
      <c r="D20" s="526"/>
      <c r="E20" s="526"/>
    </row>
    <row r="21" spans="1:5" ht="29.25" customHeight="1">
      <c r="A21" s="758" t="s">
        <v>434</v>
      </c>
      <c r="B21" s="758"/>
      <c r="C21" s="758"/>
      <c r="D21" s="758"/>
      <c r="E21" s="758"/>
    </row>
    <row r="22" spans="1:5" ht="14.25">
      <c r="A22" s="525"/>
      <c r="B22" s="525"/>
      <c r="C22" s="525"/>
      <c r="D22" s="525"/>
    </row>
    <row r="23" spans="1:5" ht="14.25">
      <c r="A23" s="525" t="s">
        <v>430</v>
      </c>
      <c r="B23" s="525"/>
      <c r="C23" s="525"/>
      <c r="D23" s="525"/>
    </row>
    <row r="24" spans="1:5" ht="14.25">
      <c r="A24" s="525" t="s">
        <v>431</v>
      </c>
      <c r="B24" s="525"/>
      <c r="C24" s="525"/>
      <c r="D24" s="525"/>
    </row>
    <row r="25" spans="1:5">
      <c r="A25" s="530"/>
      <c r="B25" s="530"/>
      <c r="C25" s="530"/>
      <c r="D25" s="530"/>
    </row>
    <row r="26" spans="1:5" ht="19.5" customHeight="1">
      <c r="A26" s="759"/>
      <c r="B26" s="760"/>
      <c r="C26" s="760"/>
      <c r="D26" s="760"/>
      <c r="E26" s="761"/>
    </row>
    <row r="27" spans="1:5" ht="19.5" customHeight="1">
      <c r="A27" s="762"/>
      <c r="B27" s="763"/>
      <c r="C27" s="763"/>
      <c r="D27" s="763"/>
      <c r="E27" s="764"/>
    </row>
    <row r="28" spans="1:5" ht="14.25">
      <c r="A28" s="765" t="s">
        <v>432</v>
      </c>
      <c r="B28" s="766"/>
      <c r="C28" s="766"/>
      <c r="D28" s="766"/>
      <c r="E28" s="767"/>
    </row>
    <row r="29" spans="1:5">
      <c r="A29" s="755" t="s">
        <v>433</v>
      </c>
      <c r="B29" s="755"/>
      <c r="C29" s="755"/>
      <c r="D29" s="755"/>
      <c r="E29" s="755"/>
    </row>
    <row r="30" spans="1:5">
      <c r="A30" s="530"/>
      <c r="B30" s="530"/>
      <c r="C30" s="530"/>
      <c r="D30" s="530"/>
    </row>
    <row r="31" spans="1:5">
      <c r="A31" s="531"/>
      <c r="B31" s="531"/>
      <c r="C31" s="531"/>
      <c r="D31" s="531"/>
    </row>
    <row r="32" spans="1:5">
      <c r="A32" s="531"/>
      <c r="B32" s="531"/>
      <c r="C32" s="531"/>
      <c r="D32" s="531"/>
    </row>
    <row r="33" spans="1:4">
      <c r="A33" s="531"/>
      <c r="B33" s="531"/>
      <c r="C33" s="531"/>
      <c r="D33" s="531"/>
    </row>
  </sheetData>
  <sheetProtection algorithmName="SHA-512" hashValue="/4Coo4jWsXn13LZ/gtqzLU1c10IrMDGAn8FeJIiOjWZN6tKbHOgDbV+7/4bmsDt/Bf5oEz66Rdy9NI/otmlQZA==" saltValue="0Op4sHjbGTLTEy1kQWXsPw==" spinCount="100000" sheet="1" selectLockedCells="1"/>
  <mergeCells count="24">
    <mergeCell ref="A7:B7"/>
    <mergeCell ref="C7:E7"/>
    <mergeCell ref="A1:E1"/>
    <mergeCell ref="A2:E2"/>
    <mergeCell ref="A3:E3"/>
    <mergeCell ref="A6:B6"/>
    <mergeCell ref="C6:E6"/>
    <mergeCell ref="A11:B11"/>
    <mergeCell ref="C11:E11"/>
    <mergeCell ref="A14:E14"/>
    <mergeCell ref="A15:D15"/>
    <mergeCell ref="A8:B8"/>
    <mergeCell ref="C8:E8"/>
    <mergeCell ref="A9:B9"/>
    <mergeCell ref="C9:E9"/>
    <mergeCell ref="A10:B10"/>
    <mergeCell ref="C10:E10"/>
    <mergeCell ref="A29:E29"/>
    <mergeCell ref="A16:E16"/>
    <mergeCell ref="A18:D18"/>
    <mergeCell ref="A19:E19"/>
    <mergeCell ref="A21:E21"/>
    <mergeCell ref="A26:E27"/>
    <mergeCell ref="A28:E28"/>
  </mergeCells>
  <dataValidations count="1">
    <dataValidation type="list" allowBlank="1" showInputMessage="1" showErrorMessage="1" sqref="E15" xr:uid="{D5B4ACC7-F07B-40F3-BFA6-2750EB59D288}">
      <formula1>"x,o"</formula1>
    </dataValidation>
  </dataValidations>
  <pageMargins left="0.7" right="0.7" top="0.78740157499999996" bottom="0.78740157499999996" header="0.3" footer="0.3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B11DB-DC4D-4680-84D3-F37BD74B8F6F}">
  <sheetPr>
    <tabColor rgb="FFFFC000"/>
  </sheetPr>
  <dimension ref="B1:D12"/>
  <sheetViews>
    <sheetView workbookViewId="0">
      <selection activeCell="D14" sqref="D14"/>
    </sheetView>
  </sheetViews>
  <sheetFormatPr baseColWidth="10" defaultRowHeight="12.75"/>
  <cols>
    <col min="1" max="1" width="10.140625" customWidth="1"/>
    <col min="2" max="2" width="61.140625" customWidth="1"/>
    <col min="3" max="3" width="11.42578125" style="9"/>
    <col min="4" max="4" width="51.5703125" customWidth="1"/>
  </cols>
  <sheetData>
    <row r="1" spans="2:4">
      <c r="B1" s="1" t="s">
        <v>348</v>
      </c>
      <c r="C1" s="467" t="s">
        <v>238</v>
      </c>
    </row>
    <row r="3" spans="2:4">
      <c r="B3" s="1" t="s">
        <v>349</v>
      </c>
      <c r="C3" s="9">
        <v>8</v>
      </c>
      <c r="D3" s="1" t="s">
        <v>360</v>
      </c>
    </row>
    <row r="4" spans="2:4">
      <c r="B4" s="1" t="s">
        <v>350</v>
      </c>
      <c r="C4" s="9">
        <v>12</v>
      </c>
      <c r="D4" s="1" t="s">
        <v>361</v>
      </c>
    </row>
    <row r="5" spans="2:4">
      <c r="B5" s="1" t="s">
        <v>351</v>
      </c>
      <c r="C5" s="9">
        <v>18</v>
      </c>
      <c r="D5" s="1" t="s">
        <v>362</v>
      </c>
    </row>
    <row r="6" spans="2:4">
      <c r="B6" s="1" t="s">
        <v>352</v>
      </c>
      <c r="C6" s="9">
        <v>16</v>
      </c>
      <c r="D6" s="1" t="s">
        <v>359</v>
      </c>
    </row>
    <row r="7" spans="2:4">
      <c r="B7" s="1" t="s">
        <v>353</v>
      </c>
      <c r="C7" s="9">
        <v>28</v>
      </c>
      <c r="D7" s="1" t="s">
        <v>363</v>
      </c>
    </row>
    <row r="8" spans="2:4">
      <c r="B8" s="1" t="s">
        <v>354</v>
      </c>
      <c r="C8" s="9">
        <v>48</v>
      </c>
      <c r="D8" s="1" t="s">
        <v>364</v>
      </c>
    </row>
    <row r="9" spans="2:4">
      <c r="B9" s="1" t="s">
        <v>355</v>
      </c>
      <c r="C9" s="9">
        <v>22</v>
      </c>
      <c r="D9" s="1" t="s">
        <v>358</v>
      </c>
    </row>
    <row r="10" spans="2:4">
      <c r="B10" s="1" t="s">
        <v>356</v>
      </c>
      <c r="C10" s="9">
        <v>32</v>
      </c>
      <c r="D10" s="1" t="s">
        <v>365</v>
      </c>
    </row>
    <row r="11" spans="2:4">
      <c r="B11" s="1" t="s">
        <v>357</v>
      </c>
      <c r="C11" s="9">
        <v>38</v>
      </c>
      <c r="D11" s="1" t="s">
        <v>366</v>
      </c>
    </row>
    <row r="12" spans="2:4">
      <c r="B12" s="1" t="s">
        <v>445</v>
      </c>
      <c r="C12" s="9">
        <v>46</v>
      </c>
      <c r="D12" s="1" t="s">
        <v>446</v>
      </c>
    </row>
  </sheetData>
  <sheetProtection algorithmName="SHA-512" hashValue="Ptk6GTuCDkpxNcnfRc9xIV58OeOcaGNmPW48UBg9Hr/M0U7rf3pwMDBSzBbT7pucwgWnLjjJfh3ziF7wv1/W/A==" saltValue="QSsuK8jrwzF3m94YeV5XIg==" spinCount="100000" sheet="1" objects="1" scenarios="1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tabColor rgb="FFFFC000"/>
    <pageSetUpPr fitToPage="1"/>
  </sheetPr>
  <dimension ref="A1:L41"/>
  <sheetViews>
    <sheetView zoomScale="90" zoomScaleNormal="90" workbookViewId="0">
      <selection activeCell="C16" sqref="C16:H16"/>
    </sheetView>
  </sheetViews>
  <sheetFormatPr baseColWidth="10" defaultColWidth="11.5703125" defaultRowHeight="14.25"/>
  <cols>
    <col min="1" max="1" width="22.7109375" style="122" customWidth="1"/>
    <col min="2" max="2" width="13.28515625" style="122" customWidth="1"/>
    <col min="3" max="5" width="16.5703125" style="122" customWidth="1"/>
    <col min="6" max="6" width="16.42578125" style="122" customWidth="1"/>
    <col min="7" max="10" width="15" style="122" customWidth="1"/>
    <col min="11" max="11" width="16" style="122" customWidth="1"/>
    <col min="12" max="12" width="3.42578125" style="122" customWidth="1"/>
    <col min="13" max="16384" width="11.5703125" style="122"/>
  </cols>
  <sheetData>
    <row r="1" spans="1:12" ht="14.25" customHeight="1">
      <c r="A1" s="780" t="s">
        <v>343</v>
      </c>
      <c r="B1" s="780"/>
      <c r="C1" s="780"/>
      <c r="D1" s="780"/>
      <c r="E1" s="780"/>
      <c r="F1" s="780"/>
      <c r="G1" s="780"/>
      <c r="H1" s="780"/>
      <c r="I1" s="399"/>
    </row>
    <row r="2" spans="1:12" ht="14.25" customHeight="1">
      <c r="A2" s="780"/>
      <c r="B2" s="780"/>
      <c r="C2" s="780"/>
      <c r="D2" s="780"/>
      <c r="E2" s="780"/>
      <c r="F2" s="780"/>
      <c r="G2" s="780"/>
      <c r="H2" s="780"/>
      <c r="I2" s="399"/>
    </row>
    <row r="3" spans="1:12" ht="14.25" customHeight="1">
      <c r="A3" s="780"/>
      <c r="B3" s="780"/>
      <c r="C3" s="780"/>
      <c r="D3" s="780"/>
      <c r="E3" s="780"/>
      <c r="F3" s="780"/>
      <c r="G3" s="780"/>
      <c r="H3" s="780"/>
      <c r="I3" s="399"/>
    </row>
    <row r="4" spans="1:12" ht="14.25" customHeight="1">
      <c r="A4" s="780"/>
      <c r="B4" s="780"/>
      <c r="C4" s="780"/>
      <c r="D4" s="780"/>
      <c r="E4" s="780"/>
      <c r="F4" s="780"/>
      <c r="G4" s="780"/>
      <c r="H4" s="780"/>
      <c r="I4" s="399"/>
    </row>
    <row r="5" spans="1:12" ht="14.25" customHeight="1">
      <c r="A5" s="780"/>
      <c r="B5" s="780"/>
      <c r="C5" s="780"/>
      <c r="D5" s="780"/>
      <c r="E5" s="780"/>
      <c r="F5" s="780"/>
      <c r="G5" s="780"/>
      <c r="H5" s="780"/>
      <c r="I5" s="399"/>
    </row>
    <row r="6" spans="1:12" ht="38.25" hidden="1">
      <c r="A6" s="124"/>
      <c r="B6" s="124"/>
      <c r="C6" s="124"/>
      <c r="D6" s="124"/>
      <c r="E6" s="124"/>
      <c r="F6" s="124"/>
      <c r="G6" s="124"/>
      <c r="H6" s="124"/>
      <c r="I6" s="124"/>
    </row>
    <row r="7" spans="1:12" ht="54.75" hidden="1" customHeight="1">
      <c r="B7" s="125"/>
      <c r="C7" s="778" t="s">
        <v>233</v>
      </c>
      <c r="D7" s="778"/>
      <c r="E7" s="778"/>
      <c r="F7" s="126"/>
      <c r="G7" s="126"/>
      <c r="H7" s="779" t="s">
        <v>312</v>
      </c>
      <c r="I7" s="779"/>
      <c r="J7" s="779"/>
      <c r="K7" s="779"/>
      <c r="L7" s="125"/>
    </row>
    <row r="8" spans="1:12" s="125" customFormat="1">
      <c r="A8" s="423" t="str">
        <f>Deckblatt!K3</f>
        <v>BBV Form</v>
      </c>
      <c r="B8" s="422" t="str">
        <f>Deckblatt!L3</f>
        <v>01/2025</v>
      </c>
      <c r="C8" s="127"/>
      <c r="D8" s="127"/>
      <c r="E8" s="127"/>
    </row>
    <row r="9" spans="1:12" ht="24">
      <c r="A9" s="129"/>
      <c r="B9" s="129"/>
      <c r="C9" s="131" t="s">
        <v>304</v>
      </c>
      <c r="D9" s="131" t="s">
        <v>325</v>
      </c>
      <c r="E9" s="131" t="s">
        <v>274</v>
      </c>
      <c r="F9" s="131" t="s">
        <v>275</v>
      </c>
      <c r="G9" s="131" t="s">
        <v>327</v>
      </c>
      <c r="H9" s="131" t="s">
        <v>326</v>
      </c>
      <c r="I9" s="400"/>
      <c r="J9" s="400"/>
      <c r="K9" s="401"/>
      <c r="L9" s="125"/>
    </row>
    <row r="10" spans="1:12" s="125" customFormat="1">
      <c r="A10" s="129"/>
      <c r="B10" s="129"/>
      <c r="C10" s="133"/>
      <c r="D10" s="130"/>
      <c r="E10" s="130"/>
      <c r="F10" s="130"/>
      <c r="G10" s="133"/>
      <c r="H10" s="133"/>
      <c r="I10" s="130"/>
      <c r="J10" s="130"/>
      <c r="K10" s="130"/>
    </row>
    <row r="11" spans="1:12" ht="37.5" customHeight="1">
      <c r="A11" s="131" t="s">
        <v>232</v>
      </c>
      <c r="B11" s="129"/>
      <c r="C11" s="134">
        <v>35</v>
      </c>
      <c r="D11" s="135">
        <v>35</v>
      </c>
      <c r="E11" s="135">
        <v>33</v>
      </c>
      <c r="F11" s="136">
        <v>30</v>
      </c>
      <c r="G11" s="135">
        <v>20</v>
      </c>
      <c r="H11" s="134">
        <v>30</v>
      </c>
      <c r="I11" s="402"/>
      <c r="J11" s="402"/>
      <c r="K11" s="402"/>
      <c r="L11" s="125"/>
    </row>
    <row r="12" spans="1:12" ht="37.5" customHeight="1">
      <c r="A12" s="137" t="s">
        <v>317</v>
      </c>
      <c r="B12" s="129"/>
      <c r="C12" s="138">
        <v>155</v>
      </c>
      <c r="D12" s="139">
        <v>155</v>
      </c>
      <c r="E12" s="139">
        <v>140</v>
      </c>
      <c r="F12" s="140">
        <v>125</v>
      </c>
      <c r="G12" s="139">
        <v>100</v>
      </c>
      <c r="H12" s="138">
        <v>125</v>
      </c>
      <c r="I12" s="402"/>
      <c r="J12" s="402"/>
      <c r="K12" s="402"/>
      <c r="L12" s="125"/>
    </row>
    <row r="13" spans="1:12" ht="37.5" customHeight="1">
      <c r="A13" s="131" t="s">
        <v>318</v>
      </c>
      <c r="B13" s="129"/>
      <c r="C13" s="134">
        <v>125</v>
      </c>
      <c r="D13" s="135">
        <v>125</v>
      </c>
      <c r="E13" s="135">
        <v>115</v>
      </c>
      <c r="F13" s="136">
        <v>100</v>
      </c>
      <c r="G13" s="135">
        <v>80</v>
      </c>
      <c r="H13" s="134">
        <v>100</v>
      </c>
      <c r="I13" s="402"/>
      <c r="J13" s="402"/>
      <c r="K13" s="402"/>
      <c r="L13" s="125"/>
    </row>
    <row r="14" spans="1:12" s="125" customFormat="1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</row>
    <row r="15" spans="1:12" ht="37.5" customHeight="1">
      <c r="A15" s="141" t="s">
        <v>303</v>
      </c>
      <c r="B15" s="129"/>
      <c r="C15" s="781">
        <v>125</v>
      </c>
      <c r="D15" s="781"/>
      <c r="E15" s="781"/>
      <c r="F15" s="781"/>
      <c r="G15" s="781"/>
      <c r="H15" s="781"/>
      <c r="I15" s="130"/>
      <c r="J15" s="130"/>
      <c r="K15" s="130"/>
      <c r="L15" s="125"/>
    </row>
    <row r="16" spans="1:12" ht="25.5" customHeight="1">
      <c r="A16" s="776" t="s">
        <v>273</v>
      </c>
      <c r="B16" s="129"/>
      <c r="C16" s="782">
        <v>35</v>
      </c>
      <c r="D16" s="782"/>
      <c r="E16" s="782"/>
      <c r="F16" s="782"/>
      <c r="G16" s="782"/>
      <c r="H16" s="782"/>
      <c r="I16" s="130"/>
      <c r="J16" s="130"/>
      <c r="K16" s="130"/>
      <c r="L16" s="125"/>
    </row>
    <row r="17" spans="1:12" ht="16.5" customHeight="1">
      <c r="A17" s="777"/>
      <c r="B17" s="129"/>
      <c r="C17" s="774" t="s">
        <v>344</v>
      </c>
      <c r="D17" s="775"/>
      <c r="E17" s="775"/>
      <c r="F17" s="775"/>
      <c r="G17" s="775"/>
      <c r="H17" s="775"/>
      <c r="I17" s="130"/>
      <c r="J17" s="130"/>
      <c r="K17" s="130"/>
      <c r="L17" s="125"/>
    </row>
    <row r="18" spans="1:12" s="125" customFormat="1"/>
    <row r="20" spans="1:12" s="128" customFormat="1" ht="12">
      <c r="A20" s="142" t="s">
        <v>234</v>
      </c>
      <c r="B20" s="128" t="s">
        <v>271</v>
      </c>
    </row>
    <row r="21" spans="1:12" s="128" customFormat="1" ht="12">
      <c r="B21" s="128" t="s">
        <v>272</v>
      </c>
    </row>
    <row r="23" spans="1:12" hidden="1"/>
    <row r="24" spans="1:12" hidden="1">
      <c r="A24" s="131" t="s">
        <v>304</v>
      </c>
      <c r="B24" s="122" t="s">
        <v>63</v>
      </c>
      <c r="C24" s="122" t="str">
        <f>A24&amp;B24</f>
        <v>Diplom-Trainer*inBBV</v>
      </c>
      <c r="F24" s="397">
        <f>C11</f>
        <v>35</v>
      </c>
      <c r="G24" s="397">
        <f>C12</f>
        <v>155</v>
      </c>
      <c r="H24" s="397">
        <f>C13</f>
        <v>125</v>
      </c>
    </row>
    <row r="25" spans="1:12" hidden="1">
      <c r="A25" s="131" t="s">
        <v>305</v>
      </c>
      <c r="B25" s="122" t="s">
        <v>63</v>
      </c>
      <c r="C25" s="122" t="str">
        <f t="shared" ref="C25:C36" si="0">A25&amp;B25</f>
        <v>A-Trainer*inBBV</v>
      </c>
      <c r="F25" s="397">
        <f>D11</f>
        <v>35</v>
      </c>
      <c r="G25" s="397">
        <f>D12</f>
        <v>155</v>
      </c>
      <c r="H25" s="397">
        <f>D13</f>
        <v>125</v>
      </c>
    </row>
    <row r="26" spans="1:12" hidden="1">
      <c r="A26" s="132" t="s">
        <v>274</v>
      </c>
      <c r="B26" s="122" t="s">
        <v>63</v>
      </c>
      <c r="C26" s="122" t="str">
        <f t="shared" si="0"/>
        <v>B-Trainer*inBBV</v>
      </c>
      <c r="F26" s="397">
        <f>E11</f>
        <v>33</v>
      </c>
      <c r="G26" s="397">
        <f>E12</f>
        <v>140</v>
      </c>
      <c r="H26" s="397">
        <f>E13</f>
        <v>115</v>
      </c>
    </row>
    <row r="27" spans="1:12" hidden="1">
      <c r="A27" s="132" t="s">
        <v>275</v>
      </c>
      <c r="B27" s="122" t="s">
        <v>63</v>
      </c>
      <c r="C27" s="122" t="str">
        <f t="shared" si="0"/>
        <v>C-Trainer*inBBV</v>
      </c>
      <c r="F27" s="397">
        <f>F11</f>
        <v>30</v>
      </c>
      <c r="G27" s="397">
        <f>F12</f>
        <v>125</v>
      </c>
      <c r="H27" s="397">
        <f>F13</f>
        <v>100</v>
      </c>
    </row>
    <row r="28" spans="1:12" hidden="1">
      <c r="A28" s="131" t="s">
        <v>306</v>
      </c>
      <c r="B28" s="122" t="s">
        <v>63</v>
      </c>
      <c r="C28" s="122" t="str">
        <f t="shared" si="0"/>
        <v>andere*r Trainer*inBBV</v>
      </c>
      <c r="F28" s="397">
        <f>G11</f>
        <v>20</v>
      </c>
      <c r="G28" s="397">
        <f>G12</f>
        <v>100</v>
      </c>
      <c r="H28" s="397">
        <f>G13</f>
        <v>80</v>
      </c>
    </row>
    <row r="29" spans="1:12" hidden="1">
      <c r="A29" s="131" t="s">
        <v>326</v>
      </c>
      <c r="B29" s="122" t="s">
        <v>63</v>
      </c>
      <c r="C29" s="122" t="str">
        <f t="shared" si="0"/>
        <v>Referierende allg.BBV</v>
      </c>
      <c r="F29" s="397">
        <f>H11</f>
        <v>30</v>
      </c>
      <c r="G29" s="397">
        <f>H12</f>
        <v>125</v>
      </c>
      <c r="H29" s="397">
        <f>H13</f>
        <v>100</v>
      </c>
    </row>
    <row r="30" spans="1:12" hidden="1"/>
    <row r="31" spans="1:12" hidden="1">
      <c r="A31" s="131" t="s">
        <v>304</v>
      </c>
      <c r="B31" s="122" t="s">
        <v>307</v>
      </c>
      <c r="C31" s="122" t="str">
        <f t="shared" si="0"/>
        <v>Diplom-Trainer*inSonst</v>
      </c>
      <c r="F31" s="397">
        <f>C11</f>
        <v>35</v>
      </c>
      <c r="G31" s="397">
        <f>C12</f>
        <v>155</v>
      </c>
      <c r="H31" s="397">
        <f>C13</f>
        <v>125</v>
      </c>
    </row>
    <row r="32" spans="1:12" hidden="1">
      <c r="A32" s="131" t="s">
        <v>305</v>
      </c>
      <c r="B32" s="122" t="s">
        <v>307</v>
      </c>
      <c r="C32" s="122" t="str">
        <f t="shared" si="0"/>
        <v>A-Trainer*inSonst</v>
      </c>
      <c r="F32" s="397">
        <f>D11</f>
        <v>35</v>
      </c>
      <c r="G32" s="397">
        <f>D12</f>
        <v>155</v>
      </c>
      <c r="H32" s="397">
        <f>D13</f>
        <v>125</v>
      </c>
    </row>
    <row r="33" spans="1:8" hidden="1">
      <c r="A33" s="132" t="s">
        <v>274</v>
      </c>
      <c r="B33" s="122" t="s">
        <v>307</v>
      </c>
      <c r="C33" s="122" t="str">
        <f t="shared" si="0"/>
        <v>B-Trainer*inSonst</v>
      </c>
      <c r="F33" s="397">
        <f>E11</f>
        <v>33</v>
      </c>
      <c r="G33" s="397">
        <f>E12</f>
        <v>140</v>
      </c>
      <c r="H33" s="397">
        <f>E13</f>
        <v>115</v>
      </c>
    </row>
    <row r="34" spans="1:8" hidden="1">
      <c r="A34" s="132" t="s">
        <v>275</v>
      </c>
      <c r="B34" s="122" t="s">
        <v>307</v>
      </c>
      <c r="C34" s="122" t="str">
        <f t="shared" si="0"/>
        <v>C-Trainer*inSonst</v>
      </c>
      <c r="F34" s="397">
        <f>F11</f>
        <v>30</v>
      </c>
      <c r="G34" s="397">
        <f>F12</f>
        <v>125</v>
      </c>
      <c r="H34" s="397">
        <f>F13</f>
        <v>100</v>
      </c>
    </row>
    <row r="35" spans="1:8" hidden="1">
      <c r="A35" s="131" t="s">
        <v>306</v>
      </c>
      <c r="B35" s="122" t="s">
        <v>307</v>
      </c>
      <c r="C35" s="122" t="str">
        <f t="shared" si="0"/>
        <v>andere*r Trainer*inSonst</v>
      </c>
      <c r="F35" s="397">
        <f>G11</f>
        <v>20</v>
      </c>
      <c r="G35" s="397">
        <f>G12</f>
        <v>100</v>
      </c>
      <c r="H35" s="397">
        <f>G13</f>
        <v>80</v>
      </c>
    </row>
    <row r="36" spans="1:8" hidden="1">
      <c r="A36" s="131" t="s">
        <v>326</v>
      </c>
      <c r="B36" s="122" t="s">
        <v>307</v>
      </c>
      <c r="C36" s="122" t="str">
        <f t="shared" si="0"/>
        <v>Referierende allg.Sonst</v>
      </c>
      <c r="F36" s="397">
        <f>H11</f>
        <v>30</v>
      </c>
      <c r="G36" s="397">
        <f>H12</f>
        <v>125</v>
      </c>
      <c r="H36" s="397">
        <f>H13</f>
        <v>100</v>
      </c>
    </row>
    <row r="37" spans="1:8" hidden="1">
      <c r="A37" s="141" t="s">
        <v>309</v>
      </c>
      <c r="F37" s="397">
        <f>C15</f>
        <v>125</v>
      </c>
      <c r="G37" s="397">
        <f>C15</f>
        <v>125</v>
      </c>
      <c r="H37" s="397">
        <f>C15</f>
        <v>125</v>
      </c>
    </row>
    <row r="38" spans="1:8" hidden="1">
      <c r="A38" s="141" t="s">
        <v>308</v>
      </c>
      <c r="F38" s="397">
        <f>C15</f>
        <v>125</v>
      </c>
      <c r="G38" s="397">
        <f>C15</f>
        <v>125</v>
      </c>
      <c r="H38" s="397">
        <f>C15</f>
        <v>125</v>
      </c>
    </row>
    <row r="39" spans="1:8" hidden="1">
      <c r="A39" s="141" t="s">
        <v>310</v>
      </c>
      <c r="F39" s="397">
        <f>C15</f>
        <v>125</v>
      </c>
      <c r="G39" s="397">
        <f>C15</f>
        <v>125</v>
      </c>
      <c r="H39" s="397">
        <f>C15</f>
        <v>125</v>
      </c>
    </row>
    <row r="40" spans="1:8" hidden="1">
      <c r="A40" s="122" t="s">
        <v>311</v>
      </c>
      <c r="F40" s="397">
        <f>C16</f>
        <v>35</v>
      </c>
      <c r="G40" s="397">
        <f>C16</f>
        <v>35</v>
      </c>
      <c r="H40" s="397">
        <f>C16</f>
        <v>35</v>
      </c>
    </row>
    <row r="41" spans="1:8" hidden="1"/>
  </sheetData>
  <sheetProtection algorithmName="SHA-512" hashValue="pSstY8oD2kMh1iS3i088nL4P5zz05vwGw5WCRMP5kOmEwdFp/C8x5ZTCMTA+jBGxIUiGP+eUwYQfnJUpzoylIw==" saltValue="5KFVkiHg3x95gwkyNsRqeA==" spinCount="100000" sheet="1" selectLockedCells="1" selectUnlockedCells="1"/>
  <mergeCells count="7">
    <mergeCell ref="C17:H17"/>
    <mergeCell ref="A16:A17"/>
    <mergeCell ref="C7:E7"/>
    <mergeCell ref="H7:K7"/>
    <mergeCell ref="A1:H5"/>
    <mergeCell ref="C15:H15"/>
    <mergeCell ref="C16:H16"/>
  </mergeCells>
  <pageMargins left="0.7" right="0.7" top="0.78740157499999996" bottom="0.78740157499999996" header="0.3" footer="0.3"/>
  <pageSetup paperSize="9"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15</vt:i4>
      </vt:variant>
    </vt:vector>
  </HeadingPairs>
  <TitlesOfParts>
    <vt:vector size="31" baseType="lpstr">
      <vt:lpstr>Deckblatt</vt:lpstr>
      <vt:lpstr>Honorar ML</vt:lpstr>
      <vt:lpstr>RKA Einzel ML</vt:lpstr>
      <vt:lpstr>Honorar Assi</vt:lpstr>
      <vt:lpstr>RKA Einzel Assi</vt:lpstr>
      <vt:lpstr>RKA Masse</vt:lpstr>
      <vt:lpstr>Ehrenamtspauschale</vt:lpstr>
      <vt:lpstr>Tagegeld</vt:lpstr>
      <vt:lpstr>Honorarsätze</vt:lpstr>
      <vt:lpstr>Hinweise Maßnahmenabrechnung</vt:lpstr>
      <vt:lpstr>TF Lehrgang Teilnehmende</vt:lpstr>
      <vt:lpstr>TF Lehrgang Betreuende</vt:lpstr>
      <vt:lpstr>TF Stützpunkt Teilnehmende</vt:lpstr>
      <vt:lpstr>Hilfsblatt ML</vt:lpstr>
      <vt:lpstr>Hilfsblatt Assi</vt:lpstr>
      <vt:lpstr>Tagessätze</vt:lpstr>
      <vt:lpstr>'Hilfsblatt Assi'!Auswahl</vt:lpstr>
      <vt:lpstr>Auswahl</vt:lpstr>
      <vt:lpstr>Deckblatt!Druckbereich</vt:lpstr>
      <vt:lpstr>Ehrenamtspauschale!Druckbereich</vt:lpstr>
      <vt:lpstr>'Hinweise Maßnahmenabrechnung'!Druckbereich</vt:lpstr>
      <vt:lpstr>'Honorar Assi'!Druckbereich</vt:lpstr>
      <vt:lpstr>'Honorar ML'!Druckbereich</vt:lpstr>
      <vt:lpstr>Honorarsätze!Druckbereich</vt:lpstr>
      <vt:lpstr>'RKA Einzel Assi'!Druckbereich</vt:lpstr>
      <vt:lpstr>'RKA Einzel ML'!Druckbereich</vt:lpstr>
      <vt:lpstr>'RKA Masse'!Druckbereich</vt:lpstr>
      <vt:lpstr>'TF Stützpunkt Teilnehmende'!Druckbereich</vt:lpstr>
      <vt:lpstr>'Hilfsblatt Assi'!Mitfahrer</vt:lpstr>
      <vt:lpstr>Mitfahrer</vt:lpstr>
      <vt:lpstr>Turnen</vt:lpstr>
    </vt:vector>
  </TitlesOfParts>
  <Manager/>
  <Company>Bayerischer Badminton Verband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Tobias F. Oertel</dc:creator>
  <cp:keywords/>
  <dc:description/>
  <cp:lastModifiedBy>Familie NebelHelbig</cp:lastModifiedBy>
  <cp:revision/>
  <cp:lastPrinted>2023-10-04T17:19:43Z</cp:lastPrinted>
  <dcterms:created xsi:type="dcterms:W3CDTF">2000-05-26T23:58:26Z</dcterms:created>
  <dcterms:modified xsi:type="dcterms:W3CDTF">2025-04-29T18:43:09Z</dcterms:modified>
  <cp:category/>
  <cp:contentStatus/>
</cp:coreProperties>
</file>